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9260" windowHeight="4200" activeTab="0"/>
  </bookViews>
  <sheets>
    <sheet name="Power Source to Consumer" sheetId="1" r:id="rId1"/>
    <sheet name="Geographically Dispersed" sheetId="2" r:id="rId2"/>
    <sheet name="Congestion Alleviation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<sst xmlns="http://schemas.openxmlformats.org/spreadsheetml/2006/main" count="272" uniqueCount="105">
  <si>
    <t>Line</t>
  </si>
  <si>
    <t>From</t>
  </si>
  <si>
    <t>To</t>
  </si>
  <si>
    <t>Bakersfield</t>
  </si>
  <si>
    <t>Ogden</t>
  </si>
  <si>
    <t>Bottineau</t>
  </si>
  <si>
    <t>San Angelo</t>
  </si>
  <si>
    <t>Scott City</t>
  </si>
  <si>
    <t>Rensselaer</t>
  </si>
  <si>
    <t>Troy</t>
  </si>
  <si>
    <t>Culpepper</t>
  </si>
  <si>
    <t>Jackman</t>
  </si>
  <si>
    <t>Sandersville</t>
  </si>
  <si>
    <t># of 20 mile Segments</t>
  </si>
  <si>
    <t>Everglades City</t>
  </si>
  <si>
    <t>Distance (miles)</t>
  </si>
  <si>
    <t># of 20 mile whole units</t>
  </si>
  <si>
    <t>Remainder of 20 mile units</t>
  </si>
  <si>
    <t># of 10-20 mile whole units</t>
  </si>
  <si>
    <r>
      <t xml:space="preserve"># of </t>
    </r>
    <r>
      <rPr>
        <b/>
        <sz val="10"/>
        <rFont val="Arial"/>
        <family val="2"/>
      </rPr>
      <t>≤</t>
    </r>
    <r>
      <rPr>
        <b/>
        <sz val="10"/>
        <rFont val="Arial"/>
        <family val="2"/>
      </rPr>
      <t>10 mile units</t>
    </r>
  </si>
  <si>
    <t>Mountain</t>
  </si>
  <si>
    <t>10-20 mile lines</t>
  </si>
  <si>
    <t xml:space="preserve"> ≤10 mile lines</t>
  </si>
  <si>
    <t>Cost per mile</t>
  </si>
  <si>
    <t>* Indicates a mountain segment (≥ 75% of line)</t>
  </si>
  <si>
    <t>Seattle*</t>
  </si>
  <si>
    <t>Bakersfield*</t>
  </si>
  <si>
    <t>Ogden*</t>
  </si>
  <si>
    <t>Bottineau*</t>
  </si>
  <si>
    <t>Scott City*</t>
  </si>
  <si>
    <t>Jackman*</t>
  </si>
  <si>
    <t>Total Cost per Line</t>
  </si>
  <si>
    <t>Multiplying Factors</t>
  </si>
  <si>
    <t>Barstow</t>
  </si>
  <si>
    <t>Devils Lake</t>
  </si>
  <si>
    <t>Logan</t>
  </si>
  <si>
    <t>Odessa</t>
  </si>
  <si>
    <t>Wray</t>
  </si>
  <si>
    <t>Watseka</t>
  </si>
  <si>
    <t>Big Sandy</t>
  </si>
  <si>
    <t>Waynesboro</t>
  </si>
  <si>
    <t>Ogdensburg</t>
  </si>
  <si>
    <t>Houlton</t>
  </si>
  <si>
    <t>Glens Fall</t>
  </si>
  <si>
    <t>Hinesville</t>
  </si>
  <si>
    <t>Dothan</t>
  </si>
  <si>
    <t>Logan*</t>
  </si>
  <si>
    <t>Barstow*</t>
  </si>
  <si>
    <t>Devils Lake*</t>
  </si>
  <si>
    <t>Wray*</t>
  </si>
  <si>
    <t>Culbertson</t>
  </si>
  <si>
    <t>Albany</t>
  </si>
  <si>
    <t>Idaho City</t>
  </si>
  <si>
    <t>Wickenburg</t>
  </si>
  <si>
    <t>Coalinga</t>
  </si>
  <si>
    <t>Socorro</t>
  </si>
  <si>
    <t>Bicknell</t>
  </si>
  <si>
    <t>Beaver City</t>
  </si>
  <si>
    <t>Tomahawk</t>
  </si>
  <si>
    <t>Fulton</t>
  </si>
  <si>
    <t>Waco</t>
  </si>
  <si>
    <t>Winnfield</t>
  </si>
  <si>
    <t>Clarksville</t>
  </si>
  <si>
    <t>Elkhart</t>
  </si>
  <si>
    <t>Ridgefield</t>
  </si>
  <si>
    <t>Wilson</t>
  </si>
  <si>
    <t>Orlando</t>
  </si>
  <si>
    <t>Coral Springs</t>
  </si>
  <si>
    <t>Winthrop*</t>
  </si>
  <si>
    <t>Albany*</t>
  </si>
  <si>
    <t>Coalinga*</t>
  </si>
  <si>
    <t>Wickenburg*</t>
  </si>
  <si>
    <t>Bicknell*</t>
  </si>
  <si>
    <t>Idaho City*</t>
  </si>
  <si>
    <t>Culbertson*</t>
  </si>
  <si>
    <t>Beaver City*</t>
  </si>
  <si>
    <t>Socorro*</t>
  </si>
  <si>
    <t>Houlton*</t>
  </si>
  <si>
    <t>Transmission Line Costs</t>
  </si>
  <si>
    <t>O&amp;M Transmission Line Costs</t>
  </si>
  <si>
    <t>Transmission Lines (Engineering and Construction Costs)</t>
  </si>
  <si>
    <t>Transmission Line (O&amp;M Costs)</t>
  </si>
  <si>
    <t>Substation Costs</t>
  </si>
  <si>
    <t>Substation (Engineering and Construction Costs)</t>
  </si>
  <si>
    <t>Cost per substation</t>
  </si>
  <si>
    <t>O&amp;M Substation Costs</t>
  </si>
  <si>
    <t>Substation (O&amp;M Costs)</t>
  </si>
  <si>
    <t># of years</t>
  </si>
  <si>
    <t>Lifecycle Costs</t>
  </si>
  <si>
    <t>Grid Components</t>
  </si>
  <si>
    <t xml:space="preserve">Total Nodes (Substations) </t>
  </si>
  <si>
    <t>Power Source to Consumer</t>
  </si>
  <si>
    <t>Congestion Alleviation</t>
  </si>
  <si>
    <t>Geographically Dispersed</t>
  </si>
  <si>
    <t>Transmission Lines (Engineering &amp; Construction Costs)</t>
  </si>
  <si>
    <t>Transmission Lines (Operation &amp; Maintenance Costs)</t>
  </si>
  <si>
    <t>Substation (Engineering &amp; Construction Costs)</t>
  </si>
  <si>
    <t>Substation (Operation &amp; Maintenance Costs)</t>
  </si>
  <si>
    <t>Topeka</t>
  </si>
  <si>
    <t>Gettysburg</t>
  </si>
  <si>
    <t>Greensboro</t>
  </si>
  <si>
    <t xml:space="preserve">Transmission Line (O&amp;M Costs) </t>
  </si>
  <si>
    <t>Lifecycle Totals</t>
  </si>
  <si>
    <t>Total</t>
  </si>
  <si>
    <t>Total Miles (Transmission Lines)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</si>
</sst>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_);[Red]\(&quot;$&quot;#,##0.0\)"/>
    <numFmt numFmtId="166" formatCode="&quot;$&quot;#,##0.000_);[Red]\(&quot;$&quot;#,##0.000\)"/>
    <numFmt numFmtId="167" formatCode="&quot;$&quot;#,##0.0000_);[Red]\(&quot;$&quot;#,##0.0000\)"/>
    <numFmt numFmtId="168" formatCode="&quot;$&quot;#,##0.00000_);[Red]\(&quot;$&quot;#,##0.00000\)"/>
    <numFmt numFmtId="169" formatCode="&quot;$&quot;#,##0.000000_);[Red]\(&quot;$&quot;#,##0.000000\)"/>
    <numFmt numFmtId="170" formatCode="&quot;$&quot;#,##0.0000000_);[Red]\(&quot;$&quot;#,##0.0000000\)"/>
    <numFmt numFmtId="171" formatCode="&quot;$&quot;#,##0.00000000_);[Red]\(&quot;$&quot;#,##0.00000000\)"/>
    <numFmt numFmtId="172" formatCode="&quot;$&quot;#,##0.000000000_);[Red]\(&quot;$&quot;#,##0.0000000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/>
    </xf>
    <xf numFmtId="6" fontId="0" fillId="33" borderId="10" xfId="0" applyNumberFormat="1" applyFill="1" applyBorder="1" applyAlignment="1">
      <alignment/>
    </xf>
    <xf numFmtId="0" fontId="1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6" fontId="0" fillId="34" borderId="0" xfId="0" applyNumberFormat="1" applyFill="1" applyAlignment="1">
      <alignment/>
    </xf>
    <xf numFmtId="0" fontId="1" fillId="34" borderId="0" xfId="0" applyFont="1" applyFill="1" applyAlignment="1">
      <alignment vertical="top" wrapText="1"/>
    </xf>
    <xf numFmtId="0" fontId="1" fillId="34" borderId="0" xfId="0" applyFont="1" applyFill="1" applyAlignment="1">
      <alignment vertical="center" wrapText="1"/>
    </xf>
    <xf numFmtId="6" fontId="1" fillId="34" borderId="0" xfId="0" applyNumberFormat="1" applyFont="1" applyFill="1" applyAlignment="1">
      <alignment vertical="center" wrapText="1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6" fontId="0" fillId="34" borderId="12" xfId="0" applyNumberForma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6" fontId="0" fillId="34" borderId="12" xfId="0" applyNumberFormat="1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6" fontId="0" fillId="34" borderId="13" xfId="0" applyNumberFormat="1" applyFill="1" applyBorder="1" applyAlignment="1">
      <alignment/>
    </xf>
    <xf numFmtId="0" fontId="0" fillId="34" borderId="12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6" fontId="0" fillId="34" borderId="14" xfId="0" applyNumberFormat="1" applyFill="1" applyBorder="1" applyAlignment="1">
      <alignment/>
    </xf>
    <xf numFmtId="6" fontId="0" fillId="34" borderId="11" xfId="0" applyNumberFormat="1" applyFont="1" applyFill="1" applyBorder="1" applyAlignment="1">
      <alignment/>
    </xf>
    <xf numFmtId="0" fontId="1" fillId="35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6" fontId="0" fillId="34" borderId="15" xfId="0" applyNumberFormat="1" applyFill="1" applyBorder="1" applyAlignment="1">
      <alignment horizontal="right"/>
    </xf>
    <xf numFmtId="6" fontId="0" fillId="34" borderId="16" xfId="0" applyNumberFormat="1" applyFill="1" applyBorder="1" applyAlignment="1">
      <alignment horizontal="right"/>
    </xf>
    <xf numFmtId="6" fontId="0" fillId="34" borderId="17" xfId="0" applyNumberFormat="1" applyFill="1" applyBorder="1" applyAlignment="1">
      <alignment horizontal="right"/>
    </xf>
    <xf numFmtId="6" fontId="0" fillId="34" borderId="18" xfId="0" applyNumberFormat="1" applyFill="1" applyBorder="1" applyAlignment="1">
      <alignment horizontal="right"/>
    </xf>
    <xf numFmtId="0" fontId="1" fillId="34" borderId="11" xfId="0" applyFont="1" applyFill="1" applyBorder="1" applyAlignment="1">
      <alignment horizontal="left" vertical="top" wrapText="1"/>
    </xf>
    <xf numFmtId="6" fontId="0" fillId="34" borderId="19" xfId="0" applyNumberFormat="1" applyFill="1" applyBorder="1" applyAlignment="1">
      <alignment horizontal="right"/>
    </xf>
    <xf numFmtId="6" fontId="0" fillId="34" borderId="20" xfId="0" applyNumberFormat="1" applyFill="1" applyBorder="1" applyAlignment="1">
      <alignment horizontal="right"/>
    </xf>
    <xf numFmtId="0" fontId="1" fillId="35" borderId="21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6" fontId="1" fillId="34" borderId="15" xfId="0" applyNumberFormat="1" applyFont="1" applyFill="1" applyBorder="1" applyAlignment="1">
      <alignment horizontal="left" vertical="center" wrapText="1"/>
    </xf>
    <xf numFmtId="6" fontId="1" fillId="34" borderId="24" xfId="0" applyNumberFormat="1" applyFont="1" applyFill="1" applyBorder="1" applyAlignment="1">
      <alignment horizontal="left" vertical="center" wrapText="1"/>
    </xf>
    <xf numFmtId="6" fontId="1" fillId="34" borderId="16" xfId="0" applyNumberFormat="1" applyFont="1" applyFill="1" applyBorder="1" applyAlignment="1">
      <alignment horizontal="left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174" fontId="0" fillId="34" borderId="17" xfId="44" applyNumberFormat="1" applyFont="1" applyFill="1" applyBorder="1" applyAlignment="1">
      <alignment horizontal="left" indent="4"/>
    </xf>
    <xf numFmtId="174" fontId="0" fillId="34" borderId="18" xfId="44" applyNumberFormat="1" applyFont="1" applyFill="1" applyBorder="1" applyAlignment="1">
      <alignment horizontal="left" indent="4"/>
    </xf>
    <xf numFmtId="174" fontId="0" fillId="34" borderId="19" xfId="44" applyNumberFormat="1" applyFont="1" applyFill="1" applyBorder="1" applyAlignment="1">
      <alignment horizontal="left" indent="4"/>
    </xf>
    <xf numFmtId="174" fontId="0" fillId="34" borderId="20" xfId="44" applyNumberFormat="1" applyFont="1" applyFill="1" applyBorder="1" applyAlignment="1">
      <alignment horizontal="left" indent="4"/>
    </xf>
    <xf numFmtId="174" fontId="0" fillId="34" borderId="15" xfId="44" applyNumberFormat="1" applyFont="1" applyFill="1" applyBorder="1" applyAlignment="1">
      <alignment horizontal="left" indent="4"/>
    </xf>
    <xf numFmtId="174" fontId="0" fillId="34" borderId="16" xfId="44" applyNumberFormat="1" applyFont="1" applyFill="1" applyBorder="1" applyAlignment="1">
      <alignment horizontal="left" indent="4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22">
      <selection activeCell="G44" sqref="G44"/>
    </sheetView>
  </sheetViews>
  <sheetFormatPr defaultColWidth="9.140625" defaultRowHeight="12.75"/>
  <cols>
    <col min="1" max="1" width="7.00390625" style="12" customWidth="1"/>
    <col min="2" max="3" width="14.57421875" style="12" customWidth="1"/>
    <col min="4" max="4" width="12.7109375" style="12" customWidth="1"/>
    <col min="5" max="5" width="14.00390625" style="12" customWidth="1"/>
    <col min="6" max="6" width="11.140625" style="12" customWidth="1"/>
    <col min="7" max="7" width="11.00390625" style="12" customWidth="1"/>
    <col min="8" max="8" width="10.421875" style="12" customWidth="1"/>
    <col min="9" max="9" width="13.421875" style="12" customWidth="1"/>
    <col min="10" max="10" width="14.28125" style="12" customWidth="1"/>
    <col min="11" max="11" width="7.140625" style="12" customWidth="1"/>
    <col min="12" max="12" width="38.00390625" style="12" customWidth="1"/>
    <col min="13" max="13" width="12.00390625" style="12" customWidth="1"/>
    <col min="14" max="16384" width="9.140625" style="12" customWidth="1"/>
  </cols>
  <sheetData>
    <row r="1" spans="1:13" ht="39" thickBot="1">
      <c r="A1" s="36" t="s">
        <v>0</v>
      </c>
      <c r="B1" s="36" t="s">
        <v>1</v>
      </c>
      <c r="C1" s="36" t="s">
        <v>2</v>
      </c>
      <c r="D1" s="36" t="s">
        <v>15</v>
      </c>
      <c r="E1" s="36" t="s">
        <v>13</v>
      </c>
      <c r="F1" s="36" t="s">
        <v>16</v>
      </c>
      <c r="G1" s="36" t="s">
        <v>17</v>
      </c>
      <c r="H1" s="36" t="s">
        <v>19</v>
      </c>
      <c r="I1" s="36" t="s">
        <v>18</v>
      </c>
      <c r="J1" s="36" t="s">
        <v>31</v>
      </c>
      <c r="L1" s="36" t="s">
        <v>80</v>
      </c>
      <c r="M1" s="36" t="s">
        <v>32</v>
      </c>
    </row>
    <row r="2" spans="1:13" ht="12.75">
      <c r="A2" s="17">
        <v>1</v>
      </c>
      <c r="B2" s="18" t="s">
        <v>25</v>
      </c>
      <c r="C2" s="18" t="s">
        <v>33</v>
      </c>
      <c r="D2" s="18">
        <v>910</v>
      </c>
      <c r="E2" s="18">
        <f>D2/20</f>
        <v>45.5</v>
      </c>
      <c r="F2" s="18">
        <v>45</v>
      </c>
      <c r="G2" s="18">
        <f>20*0.5</f>
        <v>10</v>
      </c>
      <c r="H2" s="18">
        <v>1</v>
      </c>
      <c r="I2" s="18">
        <v>45</v>
      </c>
      <c r="J2" s="19">
        <f>M2*I2*M3*M5+M2*H2*M3*M4</f>
        <v>225875000</v>
      </c>
      <c r="L2" s="21" t="s">
        <v>23</v>
      </c>
      <c r="M2" s="22">
        <v>2500000</v>
      </c>
    </row>
    <row r="3" spans="1:13" ht="12.75">
      <c r="A3" s="20">
        <f>A2+1</f>
        <v>2</v>
      </c>
      <c r="B3" s="21" t="s">
        <v>25</v>
      </c>
      <c r="C3" s="21" t="s">
        <v>34</v>
      </c>
      <c r="D3" s="21">
        <v>1087</v>
      </c>
      <c r="E3" s="21">
        <f aca="true" t="shared" si="0" ref="E3:E18">D3/20</f>
        <v>54.35</v>
      </c>
      <c r="F3" s="21">
        <v>54</v>
      </c>
      <c r="G3" s="21">
        <f>20*0.35</f>
        <v>7</v>
      </c>
      <c r="H3" s="21">
        <v>1</v>
      </c>
      <c r="I3" s="21">
        <v>54</v>
      </c>
      <c r="J3" s="22">
        <f>M2*I3*M3*M5+M2*H3*M3*M4</f>
        <v>269750000</v>
      </c>
      <c r="L3" s="21" t="s">
        <v>20</v>
      </c>
      <c r="M3" s="21">
        <v>1.3</v>
      </c>
    </row>
    <row r="4" spans="1:13" ht="12.75">
      <c r="A4" s="20">
        <f aca="true" t="shared" si="1" ref="A4:A23">A3+1</f>
        <v>3</v>
      </c>
      <c r="B4" s="21" t="s">
        <v>25</v>
      </c>
      <c r="C4" s="21" t="s">
        <v>35</v>
      </c>
      <c r="D4" s="21">
        <v>658</v>
      </c>
      <c r="E4" s="21">
        <f t="shared" si="0"/>
        <v>32.9</v>
      </c>
      <c r="F4" s="21">
        <v>32</v>
      </c>
      <c r="G4" s="21">
        <f>20*0.9</f>
        <v>18</v>
      </c>
      <c r="H4" s="21">
        <v>0</v>
      </c>
      <c r="I4" s="21">
        <v>33</v>
      </c>
      <c r="J4" s="22">
        <f>M2*I4*M3*M5+M2*H4*M3*M4</f>
        <v>160875000</v>
      </c>
      <c r="L4" s="30" t="s">
        <v>22</v>
      </c>
      <c r="M4" s="21">
        <v>2</v>
      </c>
    </row>
    <row r="5" spans="1:13" ht="13.5" thickBot="1">
      <c r="A5" s="20">
        <f t="shared" si="1"/>
        <v>4</v>
      </c>
      <c r="B5" s="21" t="s">
        <v>46</v>
      </c>
      <c r="C5" s="21" t="s">
        <v>33</v>
      </c>
      <c r="D5" s="21">
        <v>547</v>
      </c>
      <c r="E5" s="21">
        <f t="shared" si="0"/>
        <v>27.35</v>
      </c>
      <c r="F5" s="21">
        <v>27</v>
      </c>
      <c r="G5" s="21">
        <f>20*0.35</f>
        <v>7</v>
      </c>
      <c r="H5" s="21">
        <v>1</v>
      </c>
      <c r="I5" s="21">
        <v>27</v>
      </c>
      <c r="J5" s="22">
        <f>M2*I5*M3*M5+M2*H5*M3*M4</f>
        <v>138125000</v>
      </c>
      <c r="L5" s="27" t="s">
        <v>21</v>
      </c>
      <c r="M5" s="27">
        <v>1.5</v>
      </c>
    </row>
    <row r="6" spans="1:10" ht="13.5" thickBot="1">
      <c r="A6" s="20">
        <f t="shared" si="1"/>
        <v>5</v>
      </c>
      <c r="B6" s="21" t="s">
        <v>47</v>
      </c>
      <c r="C6" s="21" t="s">
        <v>36</v>
      </c>
      <c r="D6" s="21">
        <v>877</v>
      </c>
      <c r="E6" s="21">
        <f t="shared" si="0"/>
        <v>43.85</v>
      </c>
      <c r="F6" s="21">
        <v>43</v>
      </c>
      <c r="G6" s="21">
        <f>20*0.85</f>
        <v>17</v>
      </c>
      <c r="H6" s="21">
        <v>0</v>
      </c>
      <c r="I6" s="21">
        <v>44</v>
      </c>
      <c r="J6" s="22">
        <f>M2*I6*M3*M5+M2*H6*M3*M4</f>
        <v>214500000</v>
      </c>
    </row>
    <row r="7" spans="1:13" ht="13.5" thickBot="1">
      <c r="A7" s="20">
        <f t="shared" si="1"/>
        <v>6</v>
      </c>
      <c r="B7" s="21" t="s">
        <v>46</v>
      </c>
      <c r="C7" s="21" t="s">
        <v>37</v>
      </c>
      <c r="D7" s="21">
        <v>510</v>
      </c>
      <c r="E7" s="21">
        <f t="shared" si="0"/>
        <v>25.5</v>
      </c>
      <c r="F7" s="21">
        <v>25</v>
      </c>
      <c r="G7" s="21">
        <f>20*0.5</f>
        <v>10</v>
      </c>
      <c r="H7" s="21">
        <v>1</v>
      </c>
      <c r="I7" s="21">
        <v>25</v>
      </c>
      <c r="J7" s="22">
        <f>M2*I7*M3*M5+M2*H7*M3*M4</f>
        <v>128375000</v>
      </c>
      <c r="L7" s="53" t="s">
        <v>101</v>
      </c>
      <c r="M7" s="54"/>
    </row>
    <row r="8" spans="1:13" ht="12.75">
      <c r="A8" s="20">
        <f t="shared" si="1"/>
        <v>7</v>
      </c>
      <c r="B8" s="21" t="s">
        <v>48</v>
      </c>
      <c r="C8" s="21" t="s">
        <v>37</v>
      </c>
      <c r="D8" s="21">
        <v>582</v>
      </c>
      <c r="E8" s="21">
        <f t="shared" si="0"/>
        <v>29.1</v>
      </c>
      <c r="F8" s="21">
        <v>29</v>
      </c>
      <c r="G8" s="21">
        <f>20*0.1</f>
        <v>2</v>
      </c>
      <c r="H8" s="21">
        <v>1</v>
      </c>
      <c r="I8" s="21">
        <v>29</v>
      </c>
      <c r="J8" s="22">
        <f>M2*I8*M3*M5+M2*H8*M3*M4</f>
        <v>147875000</v>
      </c>
      <c r="L8" s="31" t="s">
        <v>23</v>
      </c>
      <c r="M8" s="19">
        <v>4000</v>
      </c>
    </row>
    <row r="9" spans="1:13" ht="13.5" thickBot="1">
      <c r="A9" s="20">
        <f t="shared" si="1"/>
        <v>8</v>
      </c>
      <c r="B9" s="21" t="s">
        <v>49</v>
      </c>
      <c r="C9" s="21" t="s">
        <v>36</v>
      </c>
      <c r="D9" s="21">
        <v>573</v>
      </c>
      <c r="E9" s="21">
        <f t="shared" si="0"/>
        <v>28.65</v>
      </c>
      <c r="F9" s="23">
        <v>28</v>
      </c>
      <c r="G9" s="21">
        <f>20*0.65</f>
        <v>13</v>
      </c>
      <c r="H9" s="21">
        <v>0</v>
      </c>
      <c r="I9" s="21">
        <v>29</v>
      </c>
      <c r="J9" s="22">
        <f>M2*I9*M3*M5+M2*H9*M3*M4</f>
        <v>141375000</v>
      </c>
      <c r="L9" s="32" t="s">
        <v>87</v>
      </c>
      <c r="M9" s="27">
        <v>50</v>
      </c>
    </row>
    <row r="10" spans="1:10" ht="13.5" thickBot="1">
      <c r="A10" s="20">
        <f t="shared" si="1"/>
        <v>9</v>
      </c>
      <c r="B10" s="21" t="s">
        <v>34</v>
      </c>
      <c r="C10" s="21" t="s">
        <v>38</v>
      </c>
      <c r="D10" s="21">
        <v>748</v>
      </c>
      <c r="E10" s="21">
        <f t="shared" si="0"/>
        <v>37.4</v>
      </c>
      <c r="F10" s="23">
        <v>37</v>
      </c>
      <c r="G10" s="21">
        <f>20*0.4</f>
        <v>8</v>
      </c>
      <c r="H10" s="21">
        <v>1</v>
      </c>
      <c r="I10" s="21">
        <v>37</v>
      </c>
      <c r="J10" s="22">
        <f>M2*I10*M5+M2*H10*M4</f>
        <v>143750000</v>
      </c>
    </row>
    <row r="11" spans="1:13" ht="13.5" thickBot="1">
      <c r="A11" s="24">
        <f t="shared" si="1"/>
        <v>10</v>
      </c>
      <c r="B11" s="23" t="s">
        <v>37</v>
      </c>
      <c r="C11" s="23" t="s">
        <v>98</v>
      </c>
      <c r="D11" s="23">
        <v>355</v>
      </c>
      <c r="E11" s="23">
        <f t="shared" si="0"/>
        <v>17.75</v>
      </c>
      <c r="F11" s="23">
        <v>17</v>
      </c>
      <c r="G11" s="23">
        <f>20*0.75</f>
        <v>15</v>
      </c>
      <c r="H11" s="23">
        <v>0</v>
      </c>
      <c r="I11" s="23">
        <v>18</v>
      </c>
      <c r="J11" s="25">
        <f>M2*I11*M5+M2*H11*M4</f>
        <v>67500000</v>
      </c>
      <c r="L11" s="53" t="s">
        <v>83</v>
      </c>
      <c r="M11" s="54"/>
    </row>
    <row r="12" spans="1:13" ht="13.5" thickBot="1">
      <c r="A12" s="24">
        <f t="shared" si="1"/>
        <v>11</v>
      </c>
      <c r="B12" s="23" t="s">
        <v>98</v>
      </c>
      <c r="C12" s="23" t="s">
        <v>60</v>
      </c>
      <c r="D12" s="23">
        <v>524</v>
      </c>
      <c r="E12" s="23">
        <f t="shared" si="0"/>
        <v>26.2</v>
      </c>
      <c r="F12" s="23">
        <v>26</v>
      </c>
      <c r="G12" s="23">
        <f>20*0.2</f>
        <v>4</v>
      </c>
      <c r="H12" s="23">
        <v>1</v>
      </c>
      <c r="I12" s="23">
        <v>26</v>
      </c>
      <c r="J12" s="25">
        <f>M2*I12*M5+M2*H12*M4</f>
        <v>102500000</v>
      </c>
      <c r="L12" s="33" t="s">
        <v>84</v>
      </c>
      <c r="M12" s="34">
        <v>32700000</v>
      </c>
    </row>
    <row r="13" spans="1:10" ht="13.5" thickBot="1">
      <c r="A13" s="20">
        <f t="shared" si="1"/>
        <v>12</v>
      </c>
      <c r="B13" s="21" t="s">
        <v>38</v>
      </c>
      <c r="C13" s="21" t="s">
        <v>39</v>
      </c>
      <c r="D13" s="21">
        <v>314</v>
      </c>
      <c r="E13" s="21">
        <f t="shared" si="0"/>
        <v>15.7</v>
      </c>
      <c r="F13" s="23">
        <v>15</v>
      </c>
      <c r="G13" s="21">
        <f>20*0.7</f>
        <v>14</v>
      </c>
      <c r="H13" s="21">
        <v>0</v>
      </c>
      <c r="I13" s="21">
        <v>16</v>
      </c>
      <c r="J13" s="22">
        <f>M2*I13*M5+M2*H13*M4</f>
        <v>60000000</v>
      </c>
    </row>
    <row r="14" spans="1:13" ht="13.5" thickBot="1">
      <c r="A14" s="20">
        <f t="shared" si="1"/>
        <v>13</v>
      </c>
      <c r="B14" s="21" t="s">
        <v>39</v>
      </c>
      <c r="C14" s="21" t="s">
        <v>40</v>
      </c>
      <c r="D14" s="21">
        <v>318</v>
      </c>
      <c r="E14" s="21">
        <f t="shared" si="0"/>
        <v>15.9</v>
      </c>
      <c r="F14" s="23">
        <v>15</v>
      </c>
      <c r="G14" s="21">
        <f>20*0.9</f>
        <v>18</v>
      </c>
      <c r="H14" s="21">
        <v>0</v>
      </c>
      <c r="I14" s="21">
        <v>16</v>
      </c>
      <c r="J14" s="22">
        <f>M2*I14*M5+M2*H14*M4</f>
        <v>60000000</v>
      </c>
      <c r="L14" s="53" t="s">
        <v>86</v>
      </c>
      <c r="M14" s="54"/>
    </row>
    <row r="15" spans="1:13" ht="12.75">
      <c r="A15" s="20">
        <f t="shared" si="1"/>
        <v>14</v>
      </c>
      <c r="B15" s="21" t="s">
        <v>38</v>
      </c>
      <c r="C15" s="21" t="s">
        <v>41</v>
      </c>
      <c r="D15" s="21">
        <v>681</v>
      </c>
      <c r="E15" s="21">
        <f t="shared" si="0"/>
        <v>34.05</v>
      </c>
      <c r="F15" s="23">
        <v>34</v>
      </c>
      <c r="G15" s="21">
        <f>20*0.05</f>
        <v>1</v>
      </c>
      <c r="H15" s="21">
        <v>1</v>
      </c>
      <c r="I15" s="21">
        <v>34</v>
      </c>
      <c r="J15" s="22">
        <f>M2*I15*M5+M2*H15*M4</f>
        <v>132500000</v>
      </c>
      <c r="L15" s="31" t="s">
        <v>84</v>
      </c>
      <c r="M15" s="35">
        <v>250000</v>
      </c>
    </row>
    <row r="16" spans="1:13" ht="13.5" thickBot="1">
      <c r="A16" s="20">
        <f t="shared" si="1"/>
        <v>15</v>
      </c>
      <c r="B16" s="21" t="s">
        <v>41</v>
      </c>
      <c r="C16" s="21" t="s">
        <v>42</v>
      </c>
      <c r="D16" s="21">
        <v>374</v>
      </c>
      <c r="E16" s="21">
        <f t="shared" si="0"/>
        <v>18.7</v>
      </c>
      <c r="F16" s="23">
        <v>18</v>
      </c>
      <c r="G16" s="21">
        <f>20*0.7</f>
        <v>14</v>
      </c>
      <c r="H16" s="21">
        <v>0</v>
      </c>
      <c r="I16" s="21">
        <v>19</v>
      </c>
      <c r="J16" s="22">
        <f>M2*I16*M5+M2*H16*M4</f>
        <v>71250000</v>
      </c>
      <c r="L16" s="32" t="s">
        <v>87</v>
      </c>
      <c r="M16" s="27">
        <v>50</v>
      </c>
    </row>
    <row r="17" spans="1:10" ht="12.75">
      <c r="A17" s="20">
        <f t="shared" si="1"/>
        <v>16</v>
      </c>
      <c r="B17" s="21" t="s">
        <v>41</v>
      </c>
      <c r="C17" s="21" t="s">
        <v>43</v>
      </c>
      <c r="D17" s="21">
        <v>130</v>
      </c>
      <c r="E17" s="21">
        <f t="shared" si="0"/>
        <v>6.5</v>
      </c>
      <c r="F17" s="23">
        <v>6</v>
      </c>
      <c r="G17" s="21">
        <f>20*0.5</f>
        <v>10</v>
      </c>
      <c r="H17" s="21">
        <v>1</v>
      </c>
      <c r="I17" s="21">
        <v>6</v>
      </c>
      <c r="J17" s="22">
        <f>M2*I17*M5+M2*H17*M4</f>
        <v>27500000</v>
      </c>
    </row>
    <row r="18" spans="1:10" ht="12.75">
      <c r="A18" s="24">
        <f t="shared" si="1"/>
        <v>17</v>
      </c>
      <c r="B18" s="23" t="s">
        <v>77</v>
      </c>
      <c r="C18" s="23" t="s">
        <v>99</v>
      </c>
      <c r="D18" s="23">
        <v>639</v>
      </c>
      <c r="E18" s="23">
        <f t="shared" si="0"/>
        <v>31.95</v>
      </c>
      <c r="F18" s="23">
        <v>31</v>
      </c>
      <c r="G18" s="23">
        <f>20*0.95</f>
        <v>19</v>
      </c>
      <c r="H18" s="23">
        <v>0</v>
      </c>
      <c r="I18" s="23">
        <v>32</v>
      </c>
      <c r="J18" s="25">
        <f>M2*I18*M5*M3+M2*H18*M4*M3</f>
        <v>156000000</v>
      </c>
    </row>
    <row r="19" spans="1:10" ht="12.75">
      <c r="A19" s="24">
        <f t="shared" si="1"/>
        <v>18</v>
      </c>
      <c r="B19" s="23" t="s">
        <v>39</v>
      </c>
      <c r="C19" s="23" t="s">
        <v>99</v>
      </c>
      <c r="D19" s="23">
        <v>638</v>
      </c>
      <c r="E19" s="23">
        <f aca="true" t="shared" si="2" ref="E19:E28">D19/20</f>
        <v>31.9</v>
      </c>
      <c r="F19" s="23">
        <v>31</v>
      </c>
      <c r="G19" s="23">
        <f>20*0.9</f>
        <v>18</v>
      </c>
      <c r="H19" s="23">
        <v>0</v>
      </c>
      <c r="I19" s="23">
        <v>32</v>
      </c>
      <c r="J19" s="25">
        <f>M2*I19*M5+M2*H19*M4</f>
        <v>120000000</v>
      </c>
    </row>
    <row r="20" spans="1:10" ht="12.75">
      <c r="A20" s="24">
        <f t="shared" si="1"/>
        <v>19</v>
      </c>
      <c r="B20" s="23" t="s">
        <v>100</v>
      </c>
      <c r="C20" s="23" t="s">
        <v>99</v>
      </c>
      <c r="D20" s="23">
        <v>295</v>
      </c>
      <c r="E20" s="23">
        <f t="shared" si="2"/>
        <v>14.75</v>
      </c>
      <c r="F20" s="23">
        <v>14</v>
      </c>
      <c r="G20" s="23">
        <f>20*0.75</f>
        <v>15</v>
      </c>
      <c r="H20" s="23">
        <v>0</v>
      </c>
      <c r="I20" s="23">
        <v>15</v>
      </c>
      <c r="J20" s="25">
        <f>M2*I20*M5+M2*H20*M4</f>
        <v>56250000</v>
      </c>
    </row>
    <row r="21" spans="1:10" ht="12.75">
      <c r="A21" s="24">
        <f t="shared" si="1"/>
        <v>20</v>
      </c>
      <c r="B21" s="23" t="s">
        <v>100</v>
      </c>
      <c r="C21" s="23" t="s">
        <v>39</v>
      </c>
      <c r="D21" s="23">
        <v>638</v>
      </c>
      <c r="E21" s="23">
        <f t="shared" si="2"/>
        <v>31.9</v>
      </c>
      <c r="F21" s="23">
        <v>31</v>
      </c>
      <c r="G21" s="23">
        <f>20*0.9</f>
        <v>18</v>
      </c>
      <c r="H21" s="23">
        <v>0</v>
      </c>
      <c r="I21" s="23">
        <v>32</v>
      </c>
      <c r="J21" s="25">
        <f>M2*I21*M5+M2*H21*M4</f>
        <v>120000000</v>
      </c>
    </row>
    <row r="22" spans="1:10" ht="12.75">
      <c r="A22" s="20">
        <f t="shared" si="1"/>
        <v>21</v>
      </c>
      <c r="B22" s="21" t="s">
        <v>44</v>
      </c>
      <c r="C22" s="21" t="s">
        <v>14</v>
      </c>
      <c r="D22" s="21">
        <v>445</v>
      </c>
      <c r="E22" s="21">
        <f t="shared" si="2"/>
        <v>22.25</v>
      </c>
      <c r="F22" s="23">
        <v>22</v>
      </c>
      <c r="G22" s="21">
        <f>20*0.25</f>
        <v>5</v>
      </c>
      <c r="H22" s="21">
        <v>1</v>
      </c>
      <c r="I22" s="21">
        <v>22</v>
      </c>
      <c r="J22" s="22">
        <f>M2*I22*M5+M2*H22*M4</f>
        <v>87500000</v>
      </c>
    </row>
    <row r="23" spans="1:10" ht="12.75">
      <c r="A23" s="20">
        <f t="shared" si="1"/>
        <v>22</v>
      </c>
      <c r="B23" s="21" t="s">
        <v>45</v>
      </c>
      <c r="C23" s="21" t="s">
        <v>14</v>
      </c>
      <c r="D23" s="21">
        <v>196</v>
      </c>
      <c r="E23" s="21">
        <f t="shared" si="2"/>
        <v>9.8</v>
      </c>
      <c r="F23" s="23">
        <v>9</v>
      </c>
      <c r="G23" s="21">
        <f>20*0.8</f>
        <v>16</v>
      </c>
      <c r="H23" s="21">
        <v>0</v>
      </c>
      <c r="I23" s="21">
        <v>10</v>
      </c>
      <c r="J23" s="22">
        <f>M2*I23*M5+M2*H23*M4</f>
        <v>37500000</v>
      </c>
    </row>
    <row r="24" spans="1:10" ht="12.75">
      <c r="A24" s="20">
        <f>A23+1</f>
        <v>23</v>
      </c>
      <c r="B24" s="21" t="s">
        <v>40</v>
      </c>
      <c r="C24" s="21" t="s">
        <v>45</v>
      </c>
      <c r="D24" s="21">
        <v>495</v>
      </c>
      <c r="E24" s="21">
        <f t="shared" si="2"/>
        <v>24.75</v>
      </c>
      <c r="F24" s="23">
        <v>24</v>
      </c>
      <c r="G24" s="21">
        <f>20*0.75</f>
        <v>15</v>
      </c>
      <c r="H24" s="21">
        <v>0</v>
      </c>
      <c r="I24" s="21">
        <v>25</v>
      </c>
      <c r="J24" s="22">
        <f>M2*I24*M5+M2*H24*M4</f>
        <v>93750000</v>
      </c>
    </row>
    <row r="25" spans="1:10" ht="12.75">
      <c r="A25" s="20">
        <v>24</v>
      </c>
      <c r="B25" s="21" t="s">
        <v>60</v>
      </c>
      <c r="C25" s="21" t="s">
        <v>40</v>
      </c>
      <c r="D25" s="21">
        <v>496</v>
      </c>
      <c r="E25" s="21">
        <f t="shared" si="2"/>
        <v>24.8</v>
      </c>
      <c r="F25" s="23">
        <v>24</v>
      </c>
      <c r="G25" s="21">
        <f>20*0.8</f>
        <v>16</v>
      </c>
      <c r="H25" s="21">
        <v>0</v>
      </c>
      <c r="I25" s="21">
        <v>25</v>
      </c>
      <c r="J25" s="22">
        <f>M2*I25*M5+M2*H25*M4</f>
        <v>93750000</v>
      </c>
    </row>
    <row r="26" spans="1:10" ht="12.75">
      <c r="A26" s="20">
        <v>25</v>
      </c>
      <c r="B26" s="21" t="s">
        <v>98</v>
      </c>
      <c r="C26" s="21" t="s">
        <v>39</v>
      </c>
      <c r="D26" s="21">
        <v>461</v>
      </c>
      <c r="E26" s="21">
        <f t="shared" si="2"/>
        <v>23.05</v>
      </c>
      <c r="F26" s="23">
        <v>23</v>
      </c>
      <c r="G26" s="21">
        <f>20*0.05</f>
        <v>1</v>
      </c>
      <c r="H26" s="21">
        <v>1</v>
      </c>
      <c r="I26" s="21">
        <v>23</v>
      </c>
      <c r="J26" s="22">
        <f>M2*I26*M5+M2*H26*M4</f>
        <v>91250000</v>
      </c>
    </row>
    <row r="27" spans="1:10" ht="12.75">
      <c r="A27" s="20">
        <v>26</v>
      </c>
      <c r="B27" s="21" t="s">
        <v>36</v>
      </c>
      <c r="C27" s="21" t="s">
        <v>60</v>
      </c>
      <c r="D27" s="21">
        <v>309</v>
      </c>
      <c r="E27" s="21">
        <f t="shared" si="2"/>
        <v>15.45</v>
      </c>
      <c r="F27" s="23">
        <v>15</v>
      </c>
      <c r="G27" s="21">
        <f>20*0.45</f>
        <v>9</v>
      </c>
      <c r="H27" s="21">
        <v>1</v>
      </c>
      <c r="I27" s="21">
        <v>15</v>
      </c>
      <c r="J27" s="22">
        <f>M2*I27*M5+M2*H27*M4</f>
        <v>61250000</v>
      </c>
    </row>
    <row r="28" spans="1:10" ht="13.5" thickBot="1">
      <c r="A28" s="26">
        <v>27</v>
      </c>
      <c r="B28" s="27" t="s">
        <v>100</v>
      </c>
      <c r="C28" s="27" t="s">
        <v>44</v>
      </c>
      <c r="D28" s="27">
        <v>307</v>
      </c>
      <c r="E28" s="27">
        <f t="shared" si="2"/>
        <v>15.35</v>
      </c>
      <c r="F28" s="28">
        <v>15</v>
      </c>
      <c r="G28" s="27">
        <f>20*0.35</f>
        <v>7</v>
      </c>
      <c r="H28" s="27">
        <v>1</v>
      </c>
      <c r="I28" s="27">
        <v>15</v>
      </c>
      <c r="J28" s="29">
        <f>M2*I28*M5+M2*H28*M4</f>
        <v>61250000</v>
      </c>
    </row>
    <row r="29" ht="13.5" thickBot="1">
      <c r="H29" s="12" t="s">
        <v>24</v>
      </c>
    </row>
    <row r="30" spans="1:5" ht="13.5" thickBot="1">
      <c r="A30" s="45" t="s">
        <v>102</v>
      </c>
      <c r="B30" s="46"/>
      <c r="C30" s="46"/>
      <c r="D30" s="46"/>
      <c r="E30" s="47"/>
    </row>
    <row r="31" spans="1:5" ht="13.5" thickBot="1">
      <c r="A31" s="42" t="s">
        <v>78</v>
      </c>
      <c r="B31" s="42"/>
      <c r="C31" s="42"/>
      <c r="D31" s="43">
        <f>SUM(J1:J28)</f>
        <v>3070250000</v>
      </c>
      <c r="E31" s="44"/>
    </row>
    <row r="32" spans="1:10" ht="13.5" customHeight="1" thickBot="1">
      <c r="A32" s="48" t="s">
        <v>79</v>
      </c>
      <c r="B32" s="48"/>
      <c r="C32" s="48"/>
      <c r="D32" s="40">
        <f>M8*J33*M9</f>
        <v>2821400000</v>
      </c>
      <c r="E32" s="41"/>
      <c r="G32" s="53" t="s">
        <v>89</v>
      </c>
      <c r="H32" s="56"/>
      <c r="I32" s="56"/>
      <c r="J32" s="54"/>
    </row>
    <row r="33" spans="1:10" ht="12.75">
      <c r="A33" s="48" t="s">
        <v>82</v>
      </c>
      <c r="B33" s="48"/>
      <c r="C33" s="48"/>
      <c r="D33" s="40">
        <f>M12*J34</f>
        <v>425100000</v>
      </c>
      <c r="E33" s="41"/>
      <c r="G33" s="55" t="s">
        <v>104</v>
      </c>
      <c r="H33" s="55"/>
      <c r="I33" s="55"/>
      <c r="J33" s="18">
        <f>SUM(D2:D28)</f>
        <v>14107</v>
      </c>
    </row>
    <row r="34" spans="1:10" ht="13.5" thickBot="1">
      <c r="A34" s="48" t="s">
        <v>85</v>
      </c>
      <c r="B34" s="48"/>
      <c r="C34" s="48"/>
      <c r="D34" s="40">
        <f>J34*M15*M16</f>
        <v>162500000</v>
      </c>
      <c r="E34" s="41"/>
      <c r="G34" s="50" t="s">
        <v>90</v>
      </c>
      <c r="H34" s="51"/>
      <c r="I34" s="52"/>
      <c r="J34" s="32">
        <v>13</v>
      </c>
    </row>
    <row r="35" spans="1:5" ht="13.5" thickBot="1">
      <c r="A35" s="49" t="s">
        <v>103</v>
      </c>
      <c r="B35" s="49"/>
      <c r="C35" s="49"/>
      <c r="D35" s="38">
        <f>SUM(D31:E34)</f>
        <v>6479250000</v>
      </c>
      <c r="E35" s="39"/>
    </row>
  </sheetData>
  <sheetProtection/>
  <mergeCells count="17">
    <mergeCell ref="L7:M7"/>
    <mergeCell ref="L11:M11"/>
    <mergeCell ref="L14:M14"/>
    <mergeCell ref="G33:I33"/>
    <mergeCell ref="G32:J32"/>
    <mergeCell ref="A30:E30"/>
    <mergeCell ref="A32:C32"/>
    <mergeCell ref="A33:C33"/>
    <mergeCell ref="A34:C34"/>
    <mergeCell ref="A35:C35"/>
    <mergeCell ref="G34:I34"/>
    <mergeCell ref="D35:E35"/>
    <mergeCell ref="D32:E32"/>
    <mergeCell ref="D33:E33"/>
    <mergeCell ref="D34:E34"/>
    <mergeCell ref="A31:C31"/>
    <mergeCell ref="D31:E3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G1">
      <selection activeCell="A30" sqref="A1:M30"/>
    </sheetView>
  </sheetViews>
  <sheetFormatPr defaultColWidth="9.140625" defaultRowHeight="12.75"/>
  <cols>
    <col min="1" max="1" width="5.57421875" style="12" customWidth="1"/>
    <col min="2" max="2" width="13.140625" style="12" customWidth="1"/>
    <col min="3" max="3" width="14.8515625" style="12" customWidth="1"/>
    <col min="4" max="4" width="9.140625" style="12" customWidth="1"/>
    <col min="5" max="5" width="12.421875" style="12" customWidth="1"/>
    <col min="6" max="6" width="11.28125" style="12" customWidth="1"/>
    <col min="7" max="7" width="12.140625" style="12" customWidth="1"/>
    <col min="8" max="8" width="11.8515625" style="12" customWidth="1"/>
    <col min="9" max="9" width="14.7109375" style="12" customWidth="1"/>
    <col min="10" max="10" width="13.8515625" style="12" customWidth="1"/>
    <col min="11" max="11" width="9.140625" style="12" customWidth="1"/>
    <col min="12" max="12" width="38.00390625" style="12" customWidth="1"/>
    <col min="13" max="13" width="14.7109375" style="12" customWidth="1"/>
    <col min="14" max="16384" width="9.140625" style="12" customWidth="1"/>
  </cols>
  <sheetData>
    <row r="1" spans="1:13" ht="39" thickBot="1">
      <c r="A1" s="36" t="s">
        <v>0</v>
      </c>
      <c r="B1" s="36" t="s">
        <v>1</v>
      </c>
      <c r="C1" s="36" t="s">
        <v>2</v>
      </c>
      <c r="D1" s="36" t="s">
        <v>15</v>
      </c>
      <c r="E1" s="36" t="s">
        <v>13</v>
      </c>
      <c r="F1" s="36" t="s">
        <v>16</v>
      </c>
      <c r="G1" s="36" t="s">
        <v>17</v>
      </c>
      <c r="H1" s="36" t="s">
        <v>19</v>
      </c>
      <c r="I1" s="36" t="s">
        <v>18</v>
      </c>
      <c r="J1" s="36" t="s">
        <v>31</v>
      </c>
      <c r="L1" s="36" t="s">
        <v>80</v>
      </c>
      <c r="M1" s="36" t="s">
        <v>32</v>
      </c>
    </row>
    <row r="2" spans="1:13" ht="12.75">
      <c r="A2" s="20">
        <v>1</v>
      </c>
      <c r="B2" s="21" t="s">
        <v>25</v>
      </c>
      <c r="C2" s="21" t="s">
        <v>3</v>
      </c>
      <c r="D2" s="21">
        <v>863</v>
      </c>
      <c r="E2" s="21">
        <f>D2/20</f>
        <v>43.15</v>
      </c>
      <c r="F2" s="21">
        <v>43</v>
      </c>
      <c r="G2" s="21">
        <f>0.15*20</f>
        <v>3</v>
      </c>
      <c r="H2" s="21">
        <v>1</v>
      </c>
      <c r="I2" s="21">
        <v>43</v>
      </c>
      <c r="J2" s="22">
        <f>M2*I2*M3*M5+M2*H2*M3*M4</f>
        <v>216125000</v>
      </c>
      <c r="L2" s="21" t="s">
        <v>23</v>
      </c>
      <c r="M2" s="22">
        <v>2500000</v>
      </c>
    </row>
    <row r="3" spans="1:13" ht="12.75">
      <c r="A3" s="20">
        <f>A2+1</f>
        <v>2</v>
      </c>
      <c r="B3" s="21" t="s">
        <v>25</v>
      </c>
      <c r="C3" s="21" t="s">
        <v>4</v>
      </c>
      <c r="D3" s="21">
        <v>673</v>
      </c>
      <c r="E3" s="21">
        <f aca="true" t="shared" si="0" ref="E3:E23">D3/20</f>
        <v>33.65</v>
      </c>
      <c r="F3" s="21">
        <v>33</v>
      </c>
      <c r="G3" s="21">
        <f>0.65*20</f>
        <v>13</v>
      </c>
      <c r="H3" s="21">
        <v>0</v>
      </c>
      <c r="I3" s="21">
        <v>34</v>
      </c>
      <c r="J3" s="22">
        <f>M2*I3*M3*M5+M2*H3*M3*M4</f>
        <v>165750000</v>
      </c>
      <c r="L3" s="21" t="s">
        <v>20</v>
      </c>
      <c r="M3" s="21">
        <v>1.3</v>
      </c>
    </row>
    <row r="4" spans="1:13" ht="12.75">
      <c r="A4" s="20">
        <f aca="true" t="shared" si="1" ref="A4:A23">A3+1</f>
        <v>3</v>
      </c>
      <c r="B4" s="21" t="s">
        <v>26</v>
      </c>
      <c r="C4" s="21" t="s">
        <v>4</v>
      </c>
      <c r="D4" s="21">
        <v>556</v>
      </c>
      <c r="E4" s="21">
        <f t="shared" si="0"/>
        <v>27.8</v>
      </c>
      <c r="F4" s="21">
        <v>27</v>
      </c>
      <c r="G4" s="21">
        <f>0.8*20</f>
        <v>16</v>
      </c>
      <c r="H4" s="21">
        <v>0</v>
      </c>
      <c r="I4" s="21">
        <v>28</v>
      </c>
      <c r="J4" s="22">
        <f>M2*I4*M3*M5+M2*H4*M3*M4</f>
        <v>136500000</v>
      </c>
      <c r="L4" s="30" t="s">
        <v>22</v>
      </c>
      <c r="M4" s="21">
        <v>2</v>
      </c>
    </row>
    <row r="5" spans="1:13" ht="13.5" thickBot="1">
      <c r="A5" s="20">
        <f t="shared" si="1"/>
        <v>4</v>
      </c>
      <c r="B5" s="21" t="s">
        <v>25</v>
      </c>
      <c r="C5" s="21" t="s">
        <v>5</v>
      </c>
      <c r="D5" s="21">
        <v>1006</v>
      </c>
      <c r="E5" s="21">
        <f t="shared" si="0"/>
        <v>50.3</v>
      </c>
      <c r="F5" s="21">
        <v>50</v>
      </c>
      <c r="G5" s="21">
        <f>0.3*20</f>
        <v>6</v>
      </c>
      <c r="H5" s="21">
        <v>1</v>
      </c>
      <c r="I5" s="21">
        <v>50</v>
      </c>
      <c r="J5" s="22">
        <f>M2*I5*M3*M5+M2*H5*M3*M4</f>
        <v>250250000</v>
      </c>
      <c r="L5" s="27" t="s">
        <v>21</v>
      </c>
      <c r="M5" s="27">
        <v>1.5</v>
      </c>
    </row>
    <row r="6" spans="1:10" ht="13.5" thickBot="1">
      <c r="A6" s="20">
        <f t="shared" si="1"/>
        <v>5</v>
      </c>
      <c r="B6" s="21" t="s">
        <v>27</v>
      </c>
      <c r="C6" s="21" t="s">
        <v>5</v>
      </c>
      <c r="D6" s="21">
        <v>767</v>
      </c>
      <c r="E6" s="21">
        <f t="shared" si="0"/>
        <v>38.35</v>
      </c>
      <c r="F6" s="21">
        <v>38</v>
      </c>
      <c r="G6" s="21">
        <f>20*0.35</f>
        <v>7</v>
      </c>
      <c r="H6" s="21">
        <v>1</v>
      </c>
      <c r="I6" s="21">
        <v>38</v>
      </c>
      <c r="J6" s="22">
        <f>M2*I6*M3*M5+M2*H6*M3*M4</f>
        <v>191750000</v>
      </c>
    </row>
    <row r="7" spans="1:13" ht="13.5" thickBot="1">
      <c r="A7" s="20">
        <f t="shared" si="1"/>
        <v>6</v>
      </c>
      <c r="B7" s="21" t="s">
        <v>26</v>
      </c>
      <c r="C7" s="21" t="s">
        <v>6</v>
      </c>
      <c r="D7" s="21">
        <v>1103</v>
      </c>
      <c r="E7" s="21">
        <f t="shared" si="0"/>
        <v>55.15</v>
      </c>
      <c r="F7" s="21">
        <v>55</v>
      </c>
      <c r="G7" s="21">
        <f>20*0.15</f>
        <v>3</v>
      </c>
      <c r="H7" s="21">
        <v>1</v>
      </c>
      <c r="I7" s="21">
        <v>55</v>
      </c>
      <c r="J7" s="22">
        <f>M2*I7*M3*M5+M2*H7*M3*M4</f>
        <v>274625000</v>
      </c>
      <c r="L7" s="53" t="s">
        <v>81</v>
      </c>
      <c r="M7" s="54"/>
    </row>
    <row r="8" spans="1:13" ht="12.75">
      <c r="A8" s="20">
        <f t="shared" si="1"/>
        <v>7</v>
      </c>
      <c r="B8" s="21" t="s">
        <v>27</v>
      </c>
      <c r="C8" s="21" t="s">
        <v>6</v>
      </c>
      <c r="D8" s="21">
        <v>929</v>
      </c>
      <c r="E8" s="21">
        <f t="shared" si="0"/>
        <v>46.45</v>
      </c>
      <c r="F8" s="21">
        <v>46</v>
      </c>
      <c r="G8" s="21">
        <f>20*0.45</f>
        <v>9</v>
      </c>
      <c r="H8" s="21">
        <v>1</v>
      </c>
      <c r="I8" s="21">
        <v>46</v>
      </c>
      <c r="J8" s="22">
        <f>M2*I8*M3*M5+M2*H8*M3*M4</f>
        <v>230750000</v>
      </c>
      <c r="L8" s="31" t="s">
        <v>23</v>
      </c>
      <c r="M8" s="19">
        <v>4000</v>
      </c>
    </row>
    <row r="9" spans="1:13" ht="13.5" thickBot="1">
      <c r="A9" s="20">
        <f t="shared" si="1"/>
        <v>8</v>
      </c>
      <c r="B9" s="21" t="s">
        <v>27</v>
      </c>
      <c r="C9" s="21" t="s">
        <v>7</v>
      </c>
      <c r="D9" s="21">
        <v>622</v>
      </c>
      <c r="E9" s="21">
        <f t="shared" si="0"/>
        <v>31.1</v>
      </c>
      <c r="F9" s="21">
        <v>31</v>
      </c>
      <c r="G9" s="21">
        <f>20*0.1</f>
        <v>2</v>
      </c>
      <c r="H9" s="21">
        <v>1</v>
      </c>
      <c r="I9" s="21">
        <v>31</v>
      </c>
      <c r="J9" s="22">
        <f>M2*I9*M3*M5+M2*H9*M3*M4</f>
        <v>157625000</v>
      </c>
      <c r="L9" s="32" t="s">
        <v>87</v>
      </c>
      <c r="M9" s="27">
        <v>50</v>
      </c>
    </row>
    <row r="10" spans="1:10" ht="13.5" thickBot="1">
      <c r="A10" s="20">
        <f t="shared" si="1"/>
        <v>9</v>
      </c>
      <c r="B10" s="21" t="s">
        <v>28</v>
      </c>
      <c r="C10" s="21" t="s">
        <v>7</v>
      </c>
      <c r="D10" s="21">
        <v>716</v>
      </c>
      <c r="E10" s="21">
        <f t="shared" si="0"/>
        <v>35.8</v>
      </c>
      <c r="F10" s="21">
        <v>35</v>
      </c>
      <c r="G10" s="21">
        <f>20*0.8</f>
        <v>16</v>
      </c>
      <c r="H10" s="21">
        <v>0</v>
      </c>
      <c r="I10" s="21">
        <v>36</v>
      </c>
      <c r="J10" s="22">
        <f>M2*I10*M3*M5+M2*H10*M3*M4</f>
        <v>175500000</v>
      </c>
    </row>
    <row r="11" spans="1:13" ht="13.5" thickBot="1">
      <c r="A11" s="20">
        <f t="shared" si="1"/>
        <v>10</v>
      </c>
      <c r="B11" s="21" t="s">
        <v>29</v>
      </c>
      <c r="C11" s="21" t="s">
        <v>6</v>
      </c>
      <c r="D11" s="21">
        <v>484</v>
      </c>
      <c r="E11" s="21">
        <f t="shared" si="0"/>
        <v>24.2</v>
      </c>
      <c r="F11" s="21">
        <v>24</v>
      </c>
      <c r="G11" s="21">
        <f>20*0.2</f>
        <v>4</v>
      </c>
      <c r="H11" s="21">
        <v>1</v>
      </c>
      <c r="I11" s="21">
        <v>24</v>
      </c>
      <c r="J11" s="22">
        <f>M2*I11*M3*M5+M2*H11*M3*M4</f>
        <v>123500000</v>
      </c>
      <c r="L11" s="53" t="s">
        <v>83</v>
      </c>
      <c r="M11" s="54"/>
    </row>
    <row r="12" spans="1:13" ht="13.5" thickBot="1">
      <c r="A12" s="20">
        <f t="shared" si="1"/>
        <v>11</v>
      </c>
      <c r="B12" s="21" t="s">
        <v>5</v>
      </c>
      <c r="C12" s="21" t="s">
        <v>8</v>
      </c>
      <c r="D12" s="21">
        <v>851</v>
      </c>
      <c r="E12" s="21">
        <f t="shared" si="0"/>
        <v>42.55</v>
      </c>
      <c r="F12" s="21">
        <v>42</v>
      </c>
      <c r="G12" s="21">
        <f>20*0.55</f>
        <v>11</v>
      </c>
      <c r="H12" s="21">
        <v>0</v>
      </c>
      <c r="I12" s="21">
        <v>43</v>
      </c>
      <c r="J12" s="22">
        <f>M2*I12*M5+M2*H12*M4</f>
        <v>161250000</v>
      </c>
      <c r="L12" s="33" t="s">
        <v>84</v>
      </c>
      <c r="M12" s="34">
        <v>32700000</v>
      </c>
    </row>
    <row r="13" spans="1:10" ht="13.5" thickBot="1">
      <c r="A13" s="20">
        <f t="shared" si="1"/>
        <v>12</v>
      </c>
      <c r="B13" s="21" t="s">
        <v>7</v>
      </c>
      <c r="C13" s="21" t="s">
        <v>8</v>
      </c>
      <c r="D13" s="21">
        <v>748</v>
      </c>
      <c r="E13" s="21">
        <f t="shared" si="0"/>
        <v>37.4</v>
      </c>
      <c r="F13" s="21">
        <v>37</v>
      </c>
      <c r="G13" s="21">
        <f>20*0.4</f>
        <v>8</v>
      </c>
      <c r="H13" s="21">
        <v>1</v>
      </c>
      <c r="I13" s="21">
        <v>37</v>
      </c>
      <c r="J13" s="22">
        <f>M2*I13*M5+M2*H13*M4</f>
        <v>143750000</v>
      </c>
    </row>
    <row r="14" spans="1:13" ht="13.5" thickBot="1">
      <c r="A14" s="20">
        <f t="shared" si="1"/>
        <v>13</v>
      </c>
      <c r="B14" s="21" t="s">
        <v>6</v>
      </c>
      <c r="C14" s="21" t="s">
        <v>8</v>
      </c>
      <c r="D14" s="21">
        <v>990</v>
      </c>
      <c r="E14" s="21">
        <f t="shared" si="0"/>
        <v>49.5</v>
      </c>
      <c r="F14" s="21">
        <v>49</v>
      </c>
      <c r="G14" s="21">
        <f>20*0.5</f>
        <v>10</v>
      </c>
      <c r="H14" s="21">
        <v>1</v>
      </c>
      <c r="I14" s="21">
        <v>49</v>
      </c>
      <c r="J14" s="22">
        <f>M2*I14*M5+M2*H14*M4</f>
        <v>188750000</v>
      </c>
      <c r="L14" s="53" t="s">
        <v>86</v>
      </c>
      <c r="M14" s="54"/>
    </row>
    <row r="15" spans="1:13" ht="12.75">
      <c r="A15" s="20">
        <f t="shared" si="1"/>
        <v>14</v>
      </c>
      <c r="B15" s="21" t="s">
        <v>6</v>
      </c>
      <c r="C15" s="21" t="s">
        <v>9</v>
      </c>
      <c r="D15" s="21">
        <v>852</v>
      </c>
      <c r="E15" s="21">
        <f t="shared" si="0"/>
        <v>42.6</v>
      </c>
      <c r="F15" s="21">
        <v>42</v>
      </c>
      <c r="G15" s="21">
        <f>20*0.6</f>
        <v>12</v>
      </c>
      <c r="H15" s="21">
        <v>0</v>
      </c>
      <c r="I15" s="21">
        <v>43</v>
      </c>
      <c r="J15" s="22">
        <f>M2*I15*M5+M2*H15*M4</f>
        <v>161250000</v>
      </c>
      <c r="L15" s="31" t="s">
        <v>84</v>
      </c>
      <c r="M15" s="35">
        <v>250000</v>
      </c>
    </row>
    <row r="16" spans="1:13" ht="13.5" thickBot="1">
      <c r="A16" s="20">
        <f t="shared" si="1"/>
        <v>15</v>
      </c>
      <c r="B16" s="21" t="s">
        <v>9</v>
      </c>
      <c r="C16" s="21" t="s">
        <v>8</v>
      </c>
      <c r="D16" s="21">
        <v>637</v>
      </c>
      <c r="E16" s="21">
        <f t="shared" si="0"/>
        <v>31.85</v>
      </c>
      <c r="F16" s="21">
        <v>31</v>
      </c>
      <c r="G16" s="21">
        <f>20*0.85</f>
        <v>17</v>
      </c>
      <c r="H16" s="21">
        <v>0</v>
      </c>
      <c r="I16" s="21">
        <v>32</v>
      </c>
      <c r="J16" s="22">
        <f>M2*I16*M5+M2*H16*M4</f>
        <v>120000000</v>
      </c>
      <c r="L16" s="32" t="s">
        <v>87</v>
      </c>
      <c r="M16" s="27">
        <v>50</v>
      </c>
    </row>
    <row r="17" spans="1:10" ht="12.75">
      <c r="A17" s="20">
        <f t="shared" si="1"/>
        <v>16</v>
      </c>
      <c r="B17" s="21" t="s">
        <v>8</v>
      </c>
      <c r="C17" s="21" t="s">
        <v>10</v>
      </c>
      <c r="D17" s="21">
        <v>514</v>
      </c>
      <c r="E17" s="21">
        <f t="shared" si="0"/>
        <v>25.7</v>
      </c>
      <c r="F17" s="21">
        <v>25</v>
      </c>
      <c r="G17" s="21">
        <f>20*0.7</f>
        <v>14</v>
      </c>
      <c r="H17" s="21">
        <v>0</v>
      </c>
      <c r="I17" s="21">
        <v>26</v>
      </c>
      <c r="J17" s="22">
        <f>M2*I17*M5+M2*H17*M4</f>
        <v>97500000</v>
      </c>
    </row>
    <row r="18" spans="1:10" ht="12.75">
      <c r="A18" s="20">
        <f t="shared" si="1"/>
        <v>17</v>
      </c>
      <c r="B18" s="21" t="s">
        <v>8</v>
      </c>
      <c r="C18" s="21" t="s">
        <v>11</v>
      </c>
      <c r="D18" s="21">
        <v>904</v>
      </c>
      <c r="E18" s="21">
        <f t="shared" si="0"/>
        <v>45.2</v>
      </c>
      <c r="F18" s="21">
        <v>45</v>
      </c>
      <c r="G18" s="21">
        <f>20*0.2</f>
        <v>4</v>
      </c>
      <c r="H18" s="21">
        <v>1</v>
      </c>
      <c r="I18" s="21">
        <v>45</v>
      </c>
      <c r="J18" s="22">
        <f>M2*I18*M5+M2*H18*M4</f>
        <v>173750000</v>
      </c>
    </row>
    <row r="19" spans="1:10" ht="12.75">
      <c r="A19" s="20">
        <f t="shared" si="1"/>
        <v>18</v>
      </c>
      <c r="B19" s="21" t="s">
        <v>30</v>
      </c>
      <c r="C19" s="21" t="s">
        <v>10</v>
      </c>
      <c r="D19" s="21">
        <v>636</v>
      </c>
      <c r="E19" s="21">
        <f t="shared" si="0"/>
        <v>31.8</v>
      </c>
      <c r="F19" s="21">
        <v>31</v>
      </c>
      <c r="G19" s="21">
        <f>20*0.8</f>
        <v>16</v>
      </c>
      <c r="H19" s="21">
        <v>0</v>
      </c>
      <c r="I19" s="21">
        <v>32</v>
      </c>
      <c r="J19" s="22">
        <f>M2*I19*M3*M5+M2*H19*M3*M4</f>
        <v>156000000</v>
      </c>
    </row>
    <row r="20" spans="1:10" ht="12.75">
      <c r="A20" s="20">
        <f t="shared" si="1"/>
        <v>19</v>
      </c>
      <c r="B20" s="21" t="s">
        <v>10</v>
      </c>
      <c r="C20" s="21" t="s">
        <v>12</v>
      </c>
      <c r="D20" s="21">
        <v>467</v>
      </c>
      <c r="E20" s="21">
        <f t="shared" si="0"/>
        <v>23.35</v>
      </c>
      <c r="F20" s="21">
        <v>23</v>
      </c>
      <c r="G20" s="21">
        <f>20*0.35</f>
        <v>7</v>
      </c>
      <c r="H20" s="21">
        <v>1</v>
      </c>
      <c r="I20" s="21">
        <v>23</v>
      </c>
      <c r="J20" s="22">
        <f>M2*I20*M5+M2*H20*M4</f>
        <v>91250000</v>
      </c>
    </row>
    <row r="21" spans="1:10" ht="12.75">
      <c r="A21" s="20">
        <f t="shared" si="1"/>
        <v>20</v>
      </c>
      <c r="B21" s="21" t="s">
        <v>9</v>
      </c>
      <c r="C21" s="21" t="s">
        <v>12</v>
      </c>
      <c r="D21" s="21">
        <v>198</v>
      </c>
      <c r="E21" s="21">
        <f t="shared" si="0"/>
        <v>9.9</v>
      </c>
      <c r="F21" s="21">
        <v>9</v>
      </c>
      <c r="G21" s="21">
        <f>20*0.9</f>
        <v>18</v>
      </c>
      <c r="H21" s="21">
        <v>0</v>
      </c>
      <c r="I21" s="21">
        <v>10</v>
      </c>
      <c r="J21" s="22">
        <f>M2*I21*M5+M2*H21*M4</f>
        <v>37500000</v>
      </c>
    </row>
    <row r="22" spans="1:10" ht="12.75">
      <c r="A22" s="20">
        <f t="shared" si="1"/>
        <v>21</v>
      </c>
      <c r="B22" s="21" t="s">
        <v>12</v>
      </c>
      <c r="C22" s="21" t="s">
        <v>14</v>
      </c>
      <c r="D22" s="21">
        <v>502</v>
      </c>
      <c r="E22" s="21">
        <f t="shared" si="0"/>
        <v>25.1</v>
      </c>
      <c r="F22" s="21">
        <v>25</v>
      </c>
      <c r="G22" s="21">
        <f>20*0.1</f>
        <v>2</v>
      </c>
      <c r="H22" s="21">
        <v>1</v>
      </c>
      <c r="I22" s="21">
        <v>25</v>
      </c>
      <c r="J22" s="22">
        <f>M2*I22*M5+M2*H22*M4</f>
        <v>98750000</v>
      </c>
    </row>
    <row r="23" spans="1:10" ht="13.5" thickBot="1">
      <c r="A23" s="26">
        <f t="shared" si="1"/>
        <v>22</v>
      </c>
      <c r="B23" s="27" t="s">
        <v>9</v>
      </c>
      <c r="C23" s="27" t="s">
        <v>14</v>
      </c>
      <c r="D23" s="27">
        <v>495</v>
      </c>
      <c r="E23" s="27">
        <f t="shared" si="0"/>
        <v>24.75</v>
      </c>
      <c r="F23" s="27">
        <v>24</v>
      </c>
      <c r="G23" s="27">
        <f>20*0.75</f>
        <v>15</v>
      </c>
      <c r="H23" s="27">
        <v>0</v>
      </c>
      <c r="I23" s="27">
        <v>25</v>
      </c>
      <c r="J23" s="29">
        <f>M2*I23*M5+M2*H23*M4</f>
        <v>93750000</v>
      </c>
    </row>
    <row r="24" ht="13.5" thickBot="1">
      <c r="H24" s="12" t="s">
        <v>24</v>
      </c>
    </row>
    <row r="25" spans="1:5" ht="13.5" thickBot="1">
      <c r="A25" s="45" t="s">
        <v>102</v>
      </c>
      <c r="B25" s="46"/>
      <c r="C25" s="46"/>
      <c r="D25" s="46"/>
      <c r="E25" s="47"/>
    </row>
    <row r="26" spans="1:12" ht="13.5" thickBot="1">
      <c r="A26" s="42" t="s">
        <v>78</v>
      </c>
      <c r="B26" s="42"/>
      <c r="C26" s="42"/>
      <c r="D26" s="43">
        <f>SUM(J2:J23)</f>
        <v>3445875000</v>
      </c>
      <c r="E26" s="44"/>
      <c r="K26" s="57"/>
      <c r="L26" s="15"/>
    </row>
    <row r="27" spans="1:12" ht="13.5" customHeight="1" thickBot="1">
      <c r="A27" s="48" t="s">
        <v>79</v>
      </c>
      <c r="B27" s="48"/>
      <c r="C27" s="48"/>
      <c r="D27" s="40">
        <f>J28*M8*M9</f>
        <v>3003600000</v>
      </c>
      <c r="E27" s="41"/>
      <c r="G27" s="53" t="s">
        <v>89</v>
      </c>
      <c r="H27" s="56"/>
      <c r="I27" s="56"/>
      <c r="J27" s="54"/>
      <c r="K27" s="57"/>
      <c r="L27" s="16"/>
    </row>
    <row r="28" spans="1:13" ht="12.75">
      <c r="A28" s="48" t="s">
        <v>82</v>
      </c>
      <c r="B28" s="48"/>
      <c r="C28" s="48"/>
      <c r="D28" s="40">
        <f>J29*M12</f>
        <v>392400000</v>
      </c>
      <c r="E28" s="41"/>
      <c r="G28" s="55" t="s">
        <v>104</v>
      </c>
      <c r="H28" s="55"/>
      <c r="I28" s="55"/>
      <c r="J28" s="18">
        <f>SUM(D2:D22)</f>
        <v>15018</v>
      </c>
      <c r="K28" s="13"/>
      <c r="M28" s="14"/>
    </row>
    <row r="29" spans="1:13" ht="13.5" customHeight="1" thickBot="1">
      <c r="A29" s="48" t="s">
        <v>85</v>
      </c>
      <c r="B29" s="48"/>
      <c r="C29" s="48"/>
      <c r="D29" s="40">
        <f>J29*M15*M16</f>
        <v>150000000</v>
      </c>
      <c r="E29" s="41"/>
      <c r="G29" s="50" t="s">
        <v>90</v>
      </c>
      <c r="H29" s="51"/>
      <c r="I29" s="52"/>
      <c r="J29" s="32">
        <v>12</v>
      </c>
      <c r="M29" s="14"/>
    </row>
    <row r="30" spans="1:14" ht="13.5" thickBot="1">
      <c r="A30" s="49" t="s">
        <v>103</v>
      </c>
      <c r="B30" s="49"/>
      <c r="C30" s="49"/>
      <c r="D30" s="38">
        <f>SUM(D26:E29)</f>
        <v>6991875000</v>
      </c>
      <c r="E30" s="39"/>
      <c r="M30" s="14"/>
      <c r="N30" s="13"/>
    </row>
  </sheetData>
  <sheetProtection/>
  <mergeCells count="18">
    <mergeCell ref="D26:E26"/>
    <mergeCell ref="A27:C27"/>
    <mergeCell ref="G28:I28"/>
    <mergeCell ref="G29:I29"/>
    <mergeCell ref="A28:C28"/>
    <mergeCell ref="D28:E28"/>
    <mergeCell ref="A29:C29"/>
    <mergeCell ref="D29:E29"/>
    <mergeCell ref="D27:E27"/>
    <mergeCell ref="G27:J27"/>
    <mergeCell ref="A30:C30"/>
    <mergeCell ref="D30:E30"/>
    <mergeCell ref="K26:K27"/>
    <mergeCell ref="L7:M7"/>
    <mergeCell ref="L11:M11"/>
    <mergeCell ref="L14:M14"/>
    <mergeCell ref="A25:E25"/>
    <mergeCell ref="A26:C2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F1">
      <selection activeCell="A40" sqref="A1:M40"/>
    </sheetView>
  </sheetViews>
  <sheetFormatPr defaultColWidth="9.140625" defaultRowHeight="12.75"/>
  <cols>
    <col min="1" max="1" width="7.7109375" style="12" customWidth="1"/>
    <col min="2" max="2" width="14.7109375" style="12" customWidth="1"/>
    <col min="3" max="3" width="12.8515625" style="12" customWidth="1"/>
    <col min="4" max="4" width="10.57421875" style="12" customWidth="1"/>
    <col min="5" max="5" width="12.421875" style="12" customWidth="1"/>
    <col min="6" max="6" width="13.140625" style="12" customWidth="1"/>
    <col min="7" max="7" width="12.00390625" style="12" customWidth="1"/>
    <col min="8" max="8" width="7.421875" style="12" customWidth="1"/>
    <col min="9" max="9" width="14.8515625" style="12" customWidth="1"/>
    <col min="10" max="10" width="16.140625" style="12" customWidth="1"/>
    <col min="11" max="11" width="7.140625" style="12" customWidth="1"/>
    <col min="12" max="12" width="38.00390625" style="12" customWidth="1"/>
    <col min="13" max="13" width="13.57421875" style="12" customWidth="1"/>
    <col min="14" max="16384" width="9.140625" style="12" customWidth="1"/>
  </cols>
  <sheetData>
    <row r="1" spans="1:13" s="11" customFormat="1" ht="51.75" thickBot="1">
      <c r="A1" s="36" t="s">
        <v>0</v>
      </c>
      <c r="B1" s="36" t="s">
        <v>1</v>
      </c>
      <c r="C1" s="36" t="s">
        <v>2</v>
      </c>
      <c r="D1" s="36" t="s">
        <v>15</v>
      </c>
      <c r="E1" s="36" t="s">
        <v>13</v>
      </c>
      <c r="F1" s="36" t="s">
        <v>16</v>
      </c>
      <c r="G1" s="36" t="s">
        <v>17</v>
      </c>
      <c r="H1" s="36" t="s">
        <v>19</v>
      </c>
      <c r="I1" s="36" t="s">
        <v>18</v>
      </c>
      <c r="J1" s="36" t="s">
        <v>31</v>
      </c>
      <c r="K1" s="12"/>
      <c r="L1" s="36" t="s">
        <v>80</v>
      </c>
      <c r="M1" s="36" t="s">
        <v>32</v>
      </c>
    </row>
    <row r="2" spans="1:13" ht="12.75">
      <c r="A2" s="20">
        <v>1</v>
      </c>
      <c r="B2" s="21" t="s">
        <v>68</v>
      </c>
      <c r="C2" s="21" t="s">
        <v>50</v>
      </c>
      <c r="D2" s="21">
        <v>712</v>
      </c>
      <c r="E2" s="21">
        <f>D2/20</f>
        <v>35.6</v>
      </c>
      <c r="F2" s="21">
        <v>35</v>
      </c>
      <c r="G2" s="21">
        <f>20*0.6</f>
        <v>12</v>
      </c>
      <c r="H2" s="21">
        <v>0</v>
      </c>
      <c r="I2" s="21">
        <v>36</v>
      </c>
      <c r="J2" s="22">
        <f>M2*I2*M3*M5+M2*H2*M3*M4</f>
        <v>175500000</v>
      </c>
      <c r="L2" s="21" t="s">
        <v>23</v>
      </c>
      <c r="M2" s="22">
        <v>2500000</v>
      </c>
    </row>
    <row r="3" spans="1:13" ht="12.75">
      <c r="A3" s="20">
        <f>A2+1</f>
        <v>2</v>
      </c>
      <c r="B3" s="21" t="s">
        <v>68</v>
      </c>
      <c r="C3" s="21" t="s">
        <v>51</v>
      </c>
      <c r="D3" s="21">
        <v>308</v>
      </c>
      <c r="E3" s="21">
        <f aca="true" t="shared" si="0" ref="E3:E18">D3/20</f>
        <v>15.4</v>
      </c>
      <c r="F3" s="21">
        <v>15</v>
      </c>
      <c r="G3" s="21">
        <f>20*0.4</f>
        <v>8</v>
      </c>
      <c r="H3" s="21">
        <v>1</v>
      </c>
      <c r="I3" s="21">
        <v>15</v>
      </c>
      <c r="J3" s="22">
        <f>M2*I3*M3*M5+M2*H3*M3*M4</f>
        <v>79625000</v>
      </c>
      <c r="L3" s="21" t="s">
        <v>20</v>
      </c>
      <c r="M3" s="21">
        <v>1.3</v>
      </c>
    </row>
    <row r="4" spans="1:13" ht="12.75">
      <c r="A4" s="20">
        <f aca="true" t="shared" si="1" ref="A4:A33">A3+1</f>
        <v>3</v>
      </c>
      <c r="B4" s="21" t="s">
        <v>69</v>
      </c>
      <c r="C4" s="21" t="s">
        <v>52</v>
      </c>
      <c r="D4" s="21">
        <v>363</v>
      </c>
      <c r="E4" s="21">
        <f t="shared" si="0"/>
        <v>18.15</v>
      </c>
      <c r="F4" s="21">
        <v>18</v>
      </c>
      <c r="G4" s="21">
        <f>20*0.15</f>
        <v>3</v>
      </c>
      <c r="H4" s="21">
        <v>1</v>
      </c>
      <c r="I4" s="21">
        <v>18</v>
      </c>
      <c r="J4" s="22">
        <f>M2*I4*M3*M5+M2*H4*M3*M4</f>
        <v>94250000</v>
      </c>
      <c r="L4" s="30" t="s">
        <v>22</v>
      </c>
      <c r="M4" s="21">
        <v>2</v>
      </c>
    </row>
    <row r="5" spans="1:13" ht="13.5" thickBot="1">
      <c r="A5" s="20">
        <f t="shared" si="1"/>
        <v>4</v>
      </c>
      <c r="B5" s="21" t="s">
        <v>69</v>
      </c>
      <c r="C5" s="21" t="s">
        <v>53</v>
      </c>
      <c r="D5" s="21">
        <v>920</v>
      </c>
      <c r="E5" s="21">
        <f t="shared" si="0"/>
        <v>46</v>
      </c>
      <c r="F5" s="21">
        <v>46</v>
      </c>
      <c r="G5" s="21">
        <f>20*0</f>
        <v>0</v>
      </c>
      <c r="H5" s="21">
        <v>1</v>
      </c>
      <c r="I5" s="21">
        <v>46</v>
      </c>
      <c r="J5" s="22">
        <f>M2*I5*M3*M5+M2*H5*M3*M4</f>
        <v>230750000</v>
      </c>
      <c r="L5" s="27" t="s">
        <v>21</v>
      </c>
      <c r="M5" s="27">
        <v>1.5</v>
      </c>
    </row>
    <row r="6" spans="1:10" ht="13.5" thickBot="1">
      <c r="A6" s="20">
        <f t="shared" si="1"/>
        <v>5</v>
      </c>
      <c r="B6" s="21" t="s">
        <v>69</v>
      </c>
      <c r="C6" s="21" t="s">
        <v>54</v>
      </c>
      <c r="D6" s="21">
        <v>599</v>
      </c>
      <c r="E6" s="21">
        <f t="shared" si="0"/>
        <v>29.95</v>
      </c>
      <c r="F6" s="21">
        <v>29</v>
      </c>
      <c r="G6" s="21">
        <f>20*0.95</f>
        <v>19</v>
      </c>
      <c r="H6" s="21">
        <v>0</v>
      </c>
      <c r="I6" s="21">
        <v>30</v>
      </c>
      <c r="J6" s="22">
        <f>M2*I6*M3*M5+M2*H6*M3*M4</f>
        <v>146250000</v>
      </c>
    </row>
    <row r="7" spans="1:13" ht="13.5" thickBot="1">
      <c r="A7" s="20">
        <f t="shared" si="1"/>
        <v>6</v>
      </c>
      <c r="B7" s="21" t="s">
        <v>70</v>
      </c>
      <c r="C7" s="21" t="s">
        <v>53</v>
      </c>
      <c r="D7" s="21">
        <v>457</v>
      </c>
      <c r="E7" s="21">
        <f t="shared" si="0"/>
        <v>22.85</v>
      </c>
      <c r="F7" s="21">
        <v>22</v>
      </c>
      <c r="G7" s="21">
        <f>20*0.85</f>
        <v>17</v>
      </c>
      <c r="H7" s="21">
        <v>0</v>
      </c>
      <c r="I7" s="21">
        <v>23</v>
      </c>
      <c r="J7" s="22">
        <f>M2*I7*M3*M5+M2*H7*M3*M4</f>
        <v>112125000</v>
      </c>
      <c r="L7" s="53" t="s">
        <v>81</v>
      </c>
      <c r="M7" s="54"/>
    </row>
    <row r="8" spans="1:13" ht="12.75">
      <c r="A8" s="20">
        <f t="shared" si="1"/>
        <v>7</v>
      </c>
      <c r="B8" s="21" t="s">
        <v>71</v>
      </c>
      <c r="C8" s="21" t="s">
        <v>55</v>
      </c>
      <c r="D8" s="21">
        <v>358</v>
      </c>
      <c r="E8" s="21">
        <f t="shared" si="0"/>
        <v>17.9</v>
      </c>
      <c r="F8" s="21">
        <v>17</v>
      </c>
      <c r="G8" s="21">
        <f>20*0.9</f>
        <v>18</v>
      </c>
      <c r="H8" s="21">
        <v>0</v>
      </c>
      <c r="I8" s="21">
        <v>18</v>
      </c>
      <c r="J8" s="22">
        <f>M2*I8*M3*M5+M2*H8*M3*M4</f>
        <v>87750000</v>
      </c>
      <c r="L8" s="31" t="s">
        <v>23</v>
      </c>
      <c r="M8" s="19">
        <v>4000</v>
      </c>
    </row>
    <row r="9" spans="1:13" ht="13.5" thickBot="1">
      <c r="A9" s="20">
        <f t="shared" si="1"/>
        <v>8</v>
      </c>
      <c r="B9" s="21" t="s">
        <v>72</v>
      </c>
      <c r="C9" s="21" t="s">
        <v>55</v>
      </c>
      <c r="D9" s="21">
        <v>417</v>
      </c>
      <c r="E9" s="21">
        <f t="shared" si="0"/>
        <v>20.85</v>
      </c>
      <c r="F9" s="21">
        <v>20</v>
      </c>
      <c r="G9" s="21">
        <f>20*0.85</f>
        <v>17</v>
      </c>
      <c r="H9" s="21">
        <v>0</v>
      </c>
      <c r="I9" s="21">
        <v>21</v>
      </c>
      <c r="J9" s="22">
        <f>M2*I9*M3*M5+M2*H9*M3*M4</f>
        <v>102375000</v>
      </c>
      <c r="L9" s="32" t="s">
        <v>87</v>
      </c>
      <c r="M9" s="27">
        <v>50</v>
      </c>
    </row>
    <row r="10" spans="1:10" ht="13.5" thickBot="1">
      <c r="A10" s="20">
        <f t="shared" si="1"/>
        <v>9</v>
      </c>
      <c r="B10" s="21" t="s">
        <v>72</v>
      </c>
      <c r="C10" s="21" t="s">
        <v>57</v>
      </c>
      <c r="D10" s="21">
        <v>647</v>
      </c>
      <c r="E10" s="21">
        <f t="shared" si="0"/>
        <v>32.35</v>
      </c>
      <c r="F10" s="21">
        <v>32</v>
      </c>
      <c r="G10" s="21">
        <f>20*0.35</f>
        <v>7</v>
      </c>
      <c r="H10" s="21">
        <v>1</v>
      </c>
      <c r="I10" s="21">
        <v>32</v>
      </c>
      <c r="J10" s="22">
        <f>M2*I10*M3*M5+M2*H10*M3*M4</f>
        <v>162500000</v>
      </c>
    </row>
    <row r="11" spans="1:13" ht="13.5" thickBot="1">
      <c r="A11" s="20">
        <f t="shared" si="1"/>
        <v>10</v>
      </c>
      <c r="B11" s="21" t="s">
        <v>73</v>
      </c>
      <c r="C11" s="21" t="s">
        <v>56</v>
      </c>
      <c r="D11" s="21">
        <v>436</v>
      </c>
      <c r="E11" s="21">
        <f t="shared" si="0"/>
        <v>21.8</v>
      </c>
      <c r="F11" s="21">
        <v>21</v>
      </c>
      <c r="G11" s="21">
        <f>20*0.8</f>
        <v>16</v>
      </c>
      <c r="H11" s="21">
        <v>0</v>
      </c>
      <c r="I11" s="21">
        <v>22</v>
      </c>
      <c r="J11" s="22">
        <f>M2*I11*M3*M5+M2*H11*M3*M4</f>
        <v>107250000</v>
      </c>
      <c r="L11" s="53" t="s">
        <v>83</v>
      </c>
      <c r="M11" s="54"/>
    </row>
    <row r="12" spans="1:13" ht="13.5" thickBot="1">
      <c r="A12" s="20">
        <f t="shared" si="1"/>
        <v>11</v>
      </c>
      <c r="B12" s="21" t="s">
        <v>73</v>
      </c>
      <c r="C12" s="21" t="s">
        <v>50</v>
      </c>
      <c r="D12" s="21">
        <v>621</v>
      </c>
      <c r="E12" s="21">
        <f t="shared" si="0"/>
        <v>31.05</v>
      </c>
      <c r="F12" s="21">
        <v>31</v>
      </c>
      <c r="G12" s="21">
        <f>20*0.05</f>
        <v>1</v>
      </c>
      <c r="H12" s="21">
        <v>1</v>
      </c>
      <c r="I12" s="21">
        <v>31</v>
      </c>
      <c r="J12" s="22">
        <f>M2*I12*M3*M5+M2*H12*M3*M4</f>
        <v>157625000</v>
      </c>
      <c r="L12" s="33" t="s">
        <v>84</v>
      </c>
      <c r="M12" s="34">
        <v>32700000</v>
      </c>
    </row>
    <row r="13" spans="1:10" ht="13.5" thickBot="1">
      <c r="A13" s="20">
        <f t="shared" si="1"/>
        <v>12</v>
      </c>
      <c r="B13" s="21" t="s">
        <v>50</v>
      </c>
      <c r="C13" s="21" t="s">
        <v>58</v>
      </c>
      <c r="D13" s="21">
        <v>721</v>
      </c>
      <c r="E13" s="21">
        <f t="shared" si="0"/>
        <v>36.05</v>
      </c>
      <c r="F13" s="21">
        <v>36</v>
      </c>
      <c r="G13" s="21">
        <f>20*0.05</f>
        <v>1</v>
      </c>
      <c r="H13" s="21">
        <v>1</v>
      </c>
      <c r="I13" s="21">
        <v>36</v>
      </c>
      <c r="J13" s="22">
        <f>M2*I13*M5+M2*H13*M4</f>
        <v>140000000</v>
      </c>
    </row>
    <row r="14" spans="1:13" ht="13.5" thickBot="1">
      <c r="A14" s="20">
        <f t="shared" si="1"/>
        <v>13</v>
      </c>
      <c r="B14" s="21" t="s">
        <v>74</v>
      </c>
      <c r="C14" s="21" t="s">
        <v>57</v>
      </c>
      <c r="D14" s="21">
        <v>607</v>
      </c>
      <c r="E14" s="21">
        <f t="shared" si="0"/>
        <v>30.35</v>
      </c>
      <c r="F14" s="21">
        <v>30</v>
      </c>
      <c r="G14" s="21">
        <f>20*0.35</f>
        <v>7</v>
      </c>
      <c r="H14" s="21">
        <v>1</v>
      </c>
      <c r="I14" s="21">
        <v>30</v>
      </c>
      <c r="J14" s="22">
        <f>M2*I14*M3*M5+M2*H14*M3*M4</f>
        <v>152750000</v>
      </c>
      <c r="L14" s="53" t="s">
        <v>86</v>
      </c>
      <c r="M14" s="54"/>
    </row>
    <row r="15" spans="1:13" ht="12.75">
      <c r="A15" s="20">
        <f t="shared" si="1"/>
        <v>14</v>
      </c>
      <c r="B15" s="21" t="s">
        <v>57</v>
      </c>
      <c r="C15" s="21" t="s">
        <v>59</v>
      </c>
      <c r="D15" s="21">
        <v>424</v>
      </c>
      <c r="E15" s="21">
        <f t="shared" si="0"/>
        <v>21.2</v>
      </c>
      <c r="F15" s="21">
        <v>21</v>
      </c>
      <c r="G15" s="21">
        <f>20*0.2</f>
        <v>4</v>
      </c>
      <c r="H15" s="21">
        <v>1</v>
      </c>
      <c r="I15" s="21">
        <v>21</v>
      </c>
      <c r="J15" s="22">
        <f>M2*I15*M5+M2*H15*M4</f>
        <v>83750000</v>
      </c>
      <c r="L15" s="31" t="s">
        <v>84</v>
      </c>
      <c r="M15" s="35">
        <v>250000</v>
      </c>
    </row>
    <row r="16" spans="1:13" ht="13.5" thickBot="1">
      <c r="A16" s="20">
        <f t="shared" si="1"/>
        <v>15</v>
      </c>
      <c r="B16" s="21" t="s">
        <v>75</v>
      </c>
      <c r="C16" s="21" t="s">
        <v>60</v>
      </c>
      <c r="D16" s="21">
        <v>608</v>
      </c>
      <c r="E16" s="21">
        <f t="shared" si="0"/>
        <v>30.4</v>
      </c>
      <c r="F16" s="21">
        <v>30</v>
      </c>
      <c r="G16" s="21">
        <f>20*0.4</f>
        <v>8</v>
      </c>
      <c r="H16" s="21">
        <v>1</v>
      </c>
      <c r="I16" s="21">
        <v>30</v>
      </c>
      <c r="J16" s="22">
        <f>M2*I16*M3*M5+M2*H16*M3*M4</f>
        <v>152750000</v>
      </c>
      <c r="L16" s="32" t="s">
        <v>87</v>
      </c>
      <c r="M16" s="27">
        <v>50</v>
      </c>
    </row>
    <row r="17" spans="1:10" ht="12.75">
      <c r="A17" s="20">
        <f t="shared" si="1"/>
        <v>16</v>
      </c>
      <c r="B17" s="21" t="s">
        <v>76</v>
      </c>
      <c r="C17" s="21" t="s">
        <v>60</v>
      </c>
      <c r="D17" s="21">
        <v>571</v>
      </c>
      <c r="E17" s="21">
        <f t="shared" si="0"/>
        <v>28.55</v>
      </c>
      <c r="F17" s="21">
        <v>28</v>
      </c>
      <c r="G17" s="21">
        <f>20*0.55</f>
        <v>11</v>
      </c>
      <c r="H17" s="21">
        <v>0</v>
      </c>
      <c r="I17" s="21">
        <v>29</v>
      </c>
      <c r="J17" s="22">
        <f>M2*I17*M3*M5+M2*H17*M3*M4</f>
        <v>141375000</v>
      </c>
    </row>
    <row r="18" spans="1:10" ht="12.75">
      <c r="A18" s="20">
        <f t="shared" si="1"/>
        <v>17</v>
      </c>
      <c r="B18" s="21" t="s">
        <v>60</v>
      </c>
      <c r="C18" s="21" t="s">
        <v>61</v>
      </c>
      <c r="D18" s="21">
        <v>268</v>
      </c>
      <c r="E18" s="21">
        <f t="shared" si="0"/>
        <v>13.4</v>
      </c>
      <c r="F18" s="21">
        <v>13</v>
      </c>
      <c r="G18" s="21">
        <f>20*0.4</f>
        <v>8</v>
      </c>
      <c r="H18" s="21">
        <v>1</v>
      </c>
      <c r="I18" s="21">
        <v>13</v>
      </c>
      <c r="J18" s="22">
        <f>M2*I18*M5+M2*H18*M4</f>
        <v>53750000</v>
      </c>
    </row>
    <row r="19" spans="1:10" ht="12.75">
      <c r="A19" s="20">
        <f t="shared" si="1"/>
        <v>18</v>
      </c>
      <c r="B19" s="21" t="s">
        <v>61</v>
      </c>
      <c r="C19" s="21" t="s">
        <v>62</v>
      </c>
      <c r="D19" s="21">
        <v>440</v>
      </c>
      <c r="E19" s="21">
        <f aca="true" t="shared" si="2" ref="E19:E33">D19/20</f>
        <v>22</v>
      </c>
      <c r="F19" s="21">
        <v>22</v>
      </c>
      <c r="G19" s="21">
        <f>20*0</f>
        <v>0</v>
      </c>
      <c r="H19" s="21">
        <v>1</v>
      </c>
      <c r="I19" s="21">
        <v>22</v>
      </c>
      <c r="J19" s="22">
        <f>M2*I19*M5+M2*H19*M4</f>
        <v>87500000</v>
      </c>
    </row>
    <row r="20" spans="1:10" ht="12.75">
      <c r="A20" s="20">
        <f t="shared" si="1"/>
        <v>19</v>
      </c>
      <c r="B20" s="21" t="s">
        <v>59</v>
      </c>
      <c r="C20" s="21" t="s">
        <v>62</v>
      </c>
      <c r="D20" s="21">
        <v>299</v>
      </c>
      <c r="E20" s="21">
        <f t="shared" si="2"/>
        <v>14.95</v>
      </c>
      <c r="F20" s="21">
        <v>14</v>
      </c>
      <c r="G20" s="21">
        <f>20*0.95</f>
        <v>19</v>
      </c>
      <c r="H20" s="21">
        <v>0</v>
      </c>
      <c r="I20" s="21">
        <v>15</v>
      </c>
      <c r="J20" s="22">
        <f>M2*I20*M5+M2*H20*M4</f>
        <v>56250000</v>
      </c>
    </row>
    <row r="21" spans="1:10" ht="12.75">
      <c r="A21" s="20">
        <f t="shared" si="1"/>
        <v>20</v>
      </c>
      <c r="B21" s="21" t="s">
        <v>59</v>
      </c>
      <c r="C21" s="21" t="s">
        <v>63</v>
      </c>
      <c r="D21" s="21">
        <v>370</v>
      </c>
      <c r="E21" s="21">
        <f t="shared" si="2"/>
        <v>18.5</v>
      </c>
      <c r="F21" s="21">
        <v>18</v>
      </c>
      <c r="G21" s="21">
        <f>20*0.5</f>
        <v>10</v>
      </c>
      <c r="H21" s="21">
        <v>1</v>
      </c>
      <c r="I21" s="21">
        <v>18</v>
      </c>
      <c r="J21" s="22">
        <f>M2*I21*M5+M2*H21*M4</f>
        <v>72500000</v>
      </c>
    </row>
    <row r="22" spans="1:10" ht="12.75">
      <c r="A22" s="20">
        <f t="shared" si="1"/>
        <v>21</v>
      </c>
      <c r="B22" s="21" t="s">
        <v>59</v>
      </c>
      <c r="C22" s="21" t="s">
        <v>58</v>
      </c>
      <c r="D22" s="21">
        <v>473</v>
      </c>
      <c r="E22" s="21">
        <f t="shared" si="2"/>
        <v>23.65</v>
      </c>
      <c r="F22" s="21">
        <v>23</v>
      </c>
      <c r="G22" s="21">
        <f>20*0.65</f>
        <v>13</v>
      </c>
      <c r="H22" s="21">
        <v>0</v>
      </c>
      <c r="I22" s="21">
        <v>24</v>
      </c>
      <c r="J22" s="22">
        <f>M2*I22*M5+M2*H22*M4</f>
        <v>90000000</v>
      </c>
    </row>
    <row r="23" spans="1:10" ht="12.75">
      <c r="A23" s="20">
        <f t="shared" si="1"/>
        <v>22</v>
      </c>
      <c r="B23" s="21" t="s">
        <v>58</v>
      </c>
      <c r="C23" s="21" t="s">
        <v>63</v>
      </c>
      <c r="D23" s="21">
        <v>326</v>
      </c>
      <c r="E23" s="21">
        <f t="shared" si="2"/>
        <v>16.3</v>
      </c>
      <c r="F23" s="21">
        <v>16</v>
      </c>
      <c r="G23" s="21">
        <f>20*0.3</f>
        <v>6</v>
      </c>
      <c r="H23" s="21">
        <v>1</v>
      </c>
      <c r="I23" s="21">
        <v>16</v>
      </c>
      <c r="J23" s="22">
        <f>M2*I23*M5+M2*H23*M4</f>
        <v>65000000</v>
      </c>
    </row>
    <row r="24" spans="1:10" ht="12.75">
      <c r="A24" s="20">
        <f t="shared" si="1"/>
        <v>23</v>
      </c>
      <c r="B24" s="21" t="s">
        <v>63</v>
      </c>
      <c r="C24" s="21" t="s">
        <v>42</v>
      </c>
      <c r="D24" s="21">
        <v>947</v>
      </c>
      <c r="E24" s="21">
        <f t="shared" si="2"/>
        <v>47.35</v>
      </c>
      <c r="F24" s="21">
        <v>47</v>
      </c>
      <c r="G24" s="21">
        <f>20*0.35</f>
        <v>7</v>
      </c>
      <c r="H24" s="21">
        <v>1</v>
      </c>
      <c r="I24" s="21">
        <v>47</v>
      </c>
      <c r="J24" s="22">
        <f>M2*I24*M5+M2*H24*M4</f>
        <v>181250000</v>
      </c>
    </row>
    <row r="25" spans="1:10" ht="12.75">
      <c r="A25" s="20">
        <f t="shared" si="1"/>
        <v>24</v>
      </c>
      <c r="B25" s="21" t="s">
        <v>77</v>
      </c>
      <c r="C25" s="21" t="s">
        <v>64</v>
      </c>
      <c r="D25" s="21">
        <v>433</v>
      </c>
      <c r="E25" s="21">
        <f t="shared" si="2"/>
        <v>21.65</v>
      </c>
      <c r="F25" s="21">
        <v>21</v>
      </c>
      <c r="G25" s="21">
        <f>20*0.65</f>
        <v>13</v>
      </c>
      <c r="H25" s="21">
        <v>0</v>
      </c>
      <c r="I25" s="21">
        <v>22</v>
      </c>
      <c r="J25" s="22">
        <f>M2*I25*M3*M5+M2*H25*M3*M4</f>
        <v>107250000</v>
      </c>
    </row>
    <row r="26" spans="1:10" ht="12.75">
      <c r="A26" s="20">
        <f t="shared" si="1"/>
        <v>25</v>
      </c>
      <c r="B26" s="21" t="s">
        <v>63</v>
      </c>
      <c r="C26" s="21" t="s">
        <v>64</v>
      </c>
      <c r="D26" s="21">
        <v>646</v>
      </c>
      <c r="E26" s="21">
        <f t="shared" si="2"/>
        <v>32.3</v>
      </c>
      <c r="F26" s="21">
        <v>32</v>
      </c>
      <c r="G26" s="21">
        <f>20*0.3</f>
        <v>6</v>
      </c>
      <c r="H26" s="21">
        <v>1</v>
      </c>
      <c r="I26" s="37">
        <v>32</v>
      </c>
      <c r="J26" s="22">
        <f>M2*I26*M5+M2*H26*M4</f>
        <v>125000000</v>
      </c>
    </row>
    <row r="27" spans="1:10" ht="12.75">
      <c r="A27" s="20">
        <f t="shared" si="1"/>
        <v>26</v>
      </c>
      <c r="B27" s="21" t="s">
        <v>63</v>
      </c>
      <c r="C27" s="21" t="s">
        <v>65</v>
      </c>
      <c r="D27" s="21">
        <v>597</v>
      </c>
      <c r="E27" s="21">
        <f t="shared" si="2"/>
        <v>29.85</v>
      </c>
      <c r="F27" s="21">
        <v>29</v>
      </c>
      <c r="G27" s="21">
        <f>20*0.85</f>
        <v>17</v>
      </c>
      <c r="H27" s="21">
        <v>0</v>
      </c>
      <c r="I27" s="21">
        <v>30</v>
      </c>
      <c r="J27" s="22">
        <f>M2*I27*M5+M2*H27*M4</f>
        <v>112500000</v>
      </c>
    </row>
    <row r="28" spans="1:10" ht="12.75">
      <c r="A28" s="20">
        <f t="shared" si="1"/>
        <v>27</v>
      </c>
      <c r="B28" s="21" t="s">
        <v>64</v>
      </c>
      <c r="C28" s="21" t="s">
        <v>65</v>
      </c>
      <c r="D28" s="21">
        <v>453</v>
      </c>
      <c r="E28" s="21">
        <f t="shared" si="2"/>
        <v>22.65</v>
      </c>
      <c r="F28" s="21">
        <v>22</v>
      </c>
      <c r="G28" s="21">
        <f>20*0.65</f>
        <v>13</v>
      </c>
      <c r="H28" s="21">
        <v>0</v>
      </c>
      <c r="I28" s="21">
        <v>23</v>
      </c>
      <c r="J28" s="22">
        <f>M2*I28*M5+M2*H28*M4</f>
        <v>86250000</v>
      </c>
    </row>
    <row r="29" spans="1:10" ht="12.75">
      <c r="A29" s="20">
        <f t="shared" si="1"/>
        <v>28</v>
      </c>
      <c r="B29" s="21" t="s">
        <v>62</v>
      </c>
      <c r="C29" s="21" t="s">
        <v>65</v>
      </c>
      <c r="D29" s="21">
        <v>528</v>
      </c>
      <c r="E29" s="21">
        <f t="shared" si="2"/>
        <v>26.4</v>
      </c>
      <c r="F29" s="21">
        <v>26</v>
      </c>
      <c r="G29" s="21">
        <f>20*0.4</f>
        <v>8</v>
      </c>
      <c r="H29" s="21">
        <v>1</v>
      </c>
      <c r="I29" s="21">
        <v>26</v>
      </c>
      <c r="J29" s="22">
        <f>M2*I29*M5+M2*H29*M4</f>
        <v>102500000</v>
      </c>
    </row>
    <row r="30" spans="1:10" ht="12.75">
      <c r="A30" s="20">
        <f t="shared" si="1"/>
        <v>29</v>
      </c>
      <c r="B30" s="21" t="s">
        <v>65</v>
      </c>
      <c r="C30" s="21" t="s">
        <v>66</v>
      </c>
      <c r="D30" s="21">
        <v>528</v>
      </c>
      <c r="E30" s="21">
        <f t="shared" si="2"/>
        <v>26.4</v>
      </c>
      <c r="F30" s="21">
        <v>26</v>
      </c>
      <c r="G30" s="21">
        <f>20*0.4</f>
        <v>8</v>
      </c>
      <c r="H30" s="21">
        <v>1</v>
      </c>
      <c r="I30" s="21">
        <v>26</v>
      </c>
      <c r="J30" s="22">
        <f>M2*I30*M5+M2*H30*M4</f>
        <v>102500000</v>
      </c>
    </row>
    <row r="31" spans="1:10" ht="12.75">
      <c r="A31" s="20">
        <f t="shared" si="1"/>
        <v>30</v>
      </c>
      <c r="B31" s="21" t="s">
        <v>62</v>
      </c>
      <c r="C31" s="21" t="s">
        <v>66</v>
      </c>
      <c r="D31" s="21">
        <v>664</v>
      </c>
      <c r="E31" s="21">
        <f t="shared" si="2"/>
        <v>33.2</v>
      </c>
      <c r="F31" s="21">
        <v>33</v>
      </c>
      <c r="G31" s="21">
        <f>20*0.2</f>
        <v>4</v>
      </c>
      <c r="H31" s="21">
        <v>1</v>
      </c>
      <c r="I31" s="21">
        <v>33</v>
      </c>
      <c r="J31" s="22">
        <f>M2*I31*M5+M2*H31*M4</f>
        <v>128750000</v>
      </c>
    </row>
    <row r="32" spans="1:10" ht="12.75">
      <c r="A32" s="20">
        <f t="shared" si="1"/>
        <v>31</v>
      </c>
      <c r="B32" s="21" t="s">
        <v>61</v>
      </c>
      <c r="C32" s="21" t="s">
        <v>66</v>
      </c>
      <c r="D32" s="21">
        <v>729</v>
      </c>
      <c r="E32" s="21">
        <f t="shared" si="2"/>
        <v>36.45</v>
      </c>
      <c r="F32" s="21">
        <v>36</v>
      </c>
      <c r="G32" s="21">
        <f>20*0.45</f>
        <v>9</v>
      </c>
      <c r="H32" s="21">
        <v>1</v>
      </c>
      <c r="I32" s="21">
        <v>36</v>
      </c>
      <c r="J32" s="22">
        <f>M2*I32*M5+M2*H32*M4</f>
        <v>140000000</v>
      </c>
    </row>
    <row r="33" spans="1:13" ht="13.5" thickBot="1">
      <c r="A33" s="26">
        <f t="shared" si="1"/>
        <v>32</v>
      </c>
      <c r="B33" s="27" t="s">
        <v>66</v>
      </c>
      <c r="C33" s="27" t="s">
        <v>67</v>
      </c>
      <c r="D33" s="27">
        <v>164</v>
      </c>
      <c r="E33" s="27">
        <f t="shared" si="2"/>
        <v>8.2</v>
      </c>
      <c r="F33" s="27">
        <v>8</v>
      </c>
      <c r="G33" s="27">
        <f>20*0.2</f>
        <v>4</v>
      </c>
      <c r="H33" s="27">
        <v>1</v>
      </c>
      <c r="I33" s="27">
        <v>8</v>
      </c>
      <c r="J33" s="29">
        <f>M2*I33*M5+M2*H33*M4</f>
        <v>35000000</v>
      </c>
      <c r="L33" s="57"/>
      <c r="M33" s="15"/>
    </row>
    <row r="34" spans="8:13" ht="13.5" thickBot="1">
      <c r="H34" s="12" t="s">
        <v>24</v>
      </c>
      <c r="L34" s="57"/>
      <c r="M34" s="16"/>
    </row>
    <row r="35" spans="1:5" ht="13.5" thickBot="1">
      <c r="A35" s="45" t="s">
        <v>102</v>
      </c>
      <c r="B35" s="46"/>
      <c r="C35" s="46"/>
      <c r="D35" s="46"/>
      <c r="E35" s="47"/>
    </row>
    <row r="36" spans="1:5" ht="13.5" thickBot="1">
      <c r="A36" s="42" t="s">
        <v>78</v>
      </c>
      <c r="B36" s="42"/>
      <c r="C36" s="42"/>
      <c r="D36" s="60">
        <f>SUM(J2:J33)</f>
        <v>3672625000</v>
      </c>
      <c r="E36" s="61"/>
    </row>
    <row r="37" spans="1:10" ht="13.5" thickBot="1">
      <c r="A37" s="48" t="s">
        <v>79</v>
      </c>
      <c r="B37" s="48"/>
      <c r="C37" s="48"/>
      <c r="D37" s="58">
        <f>J38*M8*M9</f>
        <v>3326800000</v>
      </c>
      <c r="E37" s="59"/>
      <c r="G37" s="53" t="s">
        <v>89</v>
      </c>
      <c r="H37" s="56"/>
      <c r="I37" s="56"/>
      <c r="J37" s="54"/>
    </row>
    <row r="38" spans="1:10" ht="12.75">
      <c r="A38" s="48" t="s">
        <v>82</v>
      </c>
      <c r="B38" s="48"/>
      <c r="C38" s="48"/>
      <c r="D38" s="58">
        <f>J39*M12</f>
        <v>621300000</v>
      </c>
      <c r="E38" s="59"/>
      <c r="G38" s="55" t="s">
        <v>104</v>
      </c>
      <c r="H38" s="55"/>
      <c r="I38" s="55"/>
      <c r="J38" s="18">
        <f>SUM(D2:D33)</f>
        <v>16634</v>
      </c>
    </row>
    <row r="39" spans="1:10" ht="13.5" thickBot="1">
      <c r="A39" s="48" t="s">
        <v>85</v>
      </c>
      <c r="B39" s="48"/>
      <c r="C39" s="48"/>
      <c r="D39" s="58">
        <f>J39*M15*M16</f>
        <v>237500000</v>
      </c>
      <c r="E39" s="59"/>
      <c r="G39" s="50" t="s">
        <v>90</v>
      </c>
      <c r="H39" s="51"/>
      <c r="I39" s="52"/>
      <c r="J39" s="32">
        <v>19</v>
      </c>
    </row>
    <row r="40" spans="1:5" ht="13.5" thickBot="1">
      <c r="A40" s="49" t="s">
        <v>103</v>
      </c>
      <c r="B40" s="49"/>
      <c r="C40" s="49"/>
      <c r="D40" s="62">
        <f>SUM(D36:E39)</f>
        <v>7858225000</v>
      </c>
      <c r="E40" s="63"/>
    </row>
  </sheetData>
  <sheetProtection/>
  <mergeCells count="18">
    <mergeCell ref="A40:C40"/>
    <mergeCell ref="D40:E40"/>
    <mergeCell ref="G37:J37"/>
    <mergeCell ref="G38:I38"/>
    <mergeCell ref="G39:I39"/>
    <mergeCell ref="L7:M7"/>
    <mergeCell ref="L11:M11"/>
    <mergeCell ref="L14:M14"/>
    <mergeCell ref="A39:C39"/>
    <mergeCell ref="D39:E39"/>
    <mergeCell ref="D38:E38"/>
    <mergeCell ref="A35:E35"/>
    <mergeCell ref="L33:L34"/>
    <mergeCell ref="A36:C36"/>
    <mergeCell ref="A37:C37"/>
    <mergeCell ref="D36:E36"/>
    <mergeCell ref="D37:E37"/>
    <mergeCell ref="A38:C3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29.7109375" style="2" customWidth="1"/>
    <col min="2" max="2" width="20.140625" style="0" customWidth="1"/>
    <col min="3" max="3" width="21.421875" style="0" customWidth="1"/>
    <col min="4" max="4" width="19.57421875" style="0" customWidth="1"/>
  </cols>
  <sheetData>
    <row r="1" spans="1:4" s="1" customFormat="1" ht="37.5" customHeight="1">
      <c r="A1" s="5"/>
      <c r="B1" s="6" t="s">
        <v>91</v>
      </c>
      <c r="C1" s="6" t="s">
        <v>93</v>
      </c>
      <c r="D1" s="6" t="s">
        <v>92</v>
      </c>
    </row>
    <row r="2" spans="1:4" s="4" customFormat="1" ht="50.25" customHeight="1">
      <c r="A2" s="5" t="s">
        <v>94</v>
      </c>
      <c r="B2" s="8">
        <f>'Power Source to Consumer'!D31</f>
        <v>3070250000</v>
      </c>
      <c r="C2" s="9">
        <f>'Geographically Dispersed'!D26</f>
        <v>3445875000</v>
      </c>
      <c r="D2" s="9">
        <f>'Congestion Alleviation'!D36</f>
        <v>3672625000</v>
      </c>
    </row>
    <row r="3" spans="1:4" s="4" customFormat="1" ht="31.5" customHeight="1">
      <c r="A3" s="5" t="s">
        <v>95</v>
      </c>
      <c r="B3" s="8">
        <f>'Power Source to Consumer'!D32</f>
        <v>2821400000</v>
      </c>
      <c r="C3" s="9">
        <f>'Geographically Dispersed'!D27</f>
        <v>3003600000</v>
      </c>
      <c r="D3" s="8">
        <f>'Congestion Alleviation'!D37</f>
        <v>3326800000</v>
      </c>
    </row>
    <row r="4" spans="1:4" s="4" customFormat="1" ht="36.75" customHeight="1">
      <c r="A4" s="5" t="s">
        <v>96</v>
      </c>
      <c r="B4" s="8">
        <f>'Power Source to Consumer'!D33</f>
        <v>425100000</v>
      </c>
      <c r="C4" s="9">
        <f>'Geographically Dispersed'!D28</f>
        <v>392400000</v>
      </c>
      <c r="D4" s="8">
        <f>'Congestion Alleviation'!D38</f>
        <v>621300000</v>
      </c>
    </row>
    <row r="5" spans="1:4" s="4" customFormat="1" ht="38.25" customHeight="1">
      <c r="A5" s="5" t="s">
        <v>97</v>
      </c>
      <c r="B5" s="8">
        <f>'Power Source to Consumer'!D34</f>
        <v>162500000</v>
      </c>
      <c r="C5" s="9">
        <f>'Geographically Dispersed'!D29</f>
        <v>150000000</v>
      </c>
      <c r="D5" s="8">
        <f>'Congestion Alleviation'!D39</f>
        <v>237500000</v>
      </c>
    </row>
    <row r="6" spans="1:4" s="4" customFormat="1" ht="30.75" customHeight="1">
      <c r="A6" s="7" t="s">
        <v>88</v>
      </c>
      <c r="B6" s="10">
        <f>SUM(B2:B5)</f>
        <v>6479250000</v>
      </c>
      <c r="C6" s="10">
        <f>SUM(C2:C5)</f>
        <v>6991875000</v>
      </c>
      <c r="D6" s="10">
        <f>SUM(D2:D5)</f>
        <v>7858225000</v>
      </c>
    </row>
    <row r="7" s="4" customFormat="1" ht="12.75">
      <c r="A7" s="3"/>
    </row>
    <row r="8" s="4" customFormat="1" ht="12.75">
      <c r="A8" s="3"/>
    </row>
    <row r="9" s="4" customFormat="1" ht="12.75">
      <c r="A9" s="3"/>
    </row>
    <row r="10" s="4" customFormat="1" ht="12.75">
      <c r="A10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ononiwa</dc:creator>
  <cp:keywords/>
  <dc:description/>
  <cp:lastModifiedBy>nathan welch</cp:lastModifiedBy>
  <dcterms:created xsi:type="dcterms:W3CDTF">2009-11-16T14:23:03Z</dcterms:created>
  <dcterms:modified xsi:type="dcterms:W3CDTF">2009-12-13T02:28:27Z</dcterms:modified>
  <cp:category/>
  <cp:version/>
  <cp:contentType/>
  <cp:contentStatus/>
</cp:coreProperties>
</file>